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newstreet1385.sharepoint.com/sites/Corp/Shared/TELECOMS/STOCKS/EMEA/Malaysia/01 Maxis/02 Model/"/>
    </mc:Choice>
  </mc:AlternateContent>
  <xr:revisionPtr revIDLastSave="282" documentId="13_ncr:1_{DF87999D-A6B0-4033-A1FE-4BF26E80A30D}" xr6:coauthVersionLast="47" xr6:coauthVersionMax="47" xr10:uidLastSave="{7D2DCA7C-945C-48D8-A993-D8A19055BD9D}"/>
  <bookViews>
    <workbookView xWindow="-23148" yWindow="-96" windowWidth="23256" windowHeight="12456" xr2:uid="{00000000-000D-0000-FFFF-FFFF00000000}"/>
  </bookViews>
  <sheets>
    <sheet name="Key" sheetId="13" r:id="rId1"/>
    <sheet name="Profit and Loss Highlights" sheetId="9" r:id="rId2"/>
    <sheet name="Key Balance Sheet &amp; CFlow Items" sheetId="10" r:id="rId3"/>
    <sheet name="Domestic Mobile Operations" sheetId="6" r:id="rId4"/>
    <sheet name="Charts" sheetId="12" r:id="rId5"/>
    <sheet name="Lisbon" sheetId="16" r:id="rId6"/>
    <sheet name="Dates" sheetId="14" state="hidden" r:id="rId7"/>
  </sheets>
  <externalReferences>
    <externalReference r:id="rId8"/>
  </externalReferences>
  <definedNames>
    <definedName name="_xlnm.Print_Area" localSheetId="4">Charts!$A$1:$U$331</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18" i="16" l="1"/>
  <c r="AB17" i="16"/>
  <c r="AA17" i="16"/>
  <c r="BF41" i="9"/>
  <c r="BG41" i="9"/>
  <c r="BF42" i="9"/>
  <c r="BG42" i="9"/>
  <c r="BF43" i="9"/>
  <c r="BG43" i="9"/>
  <c r="BF44" i="9"/>
  <c r="BG44" i="9"/>
  <c r="BF45" i="9"/>
  <c r="BG45" i="9"/>
  <c r="BF46" i="9"/>
  <c r="BG46" i="9"/>
  <c r="BF47" i="9"/>
  <c r="BG47" i="9"/>
  <c r="BF48" i="9"/>
  <c r="BG48" i="9"/>
  <c r="BF54" i="9"/>
  <c r="BG54" i="9"/>
  <c r="BP12" i="6"/>
  <c r="BP13" i="6"/>
  <c r="BP14" i="6" s="1"/>
  <c r="BP23" i="6"/>
  <c r="BP24" i="6"/>
  <c r="BP25" i="6"/>
  <c r="BP26" i="6"/>
  <c r="AB66" i="16"/>
  <c r="AB65" i="16"/>
  <c r="AB64" i="16"/>
  <c r="AB63" i="16"/>
  <c r="AB62" i="16"/>
  <c r="AA66" i="16"/>
  <c r="AA65" i="16"/>
  <c r="AA64" i="16"/>
  <c r="AA63" i="16"/>
  <c r="AA62" i="16"/>
  <c r="Z66" i="16"/>
  <c r="Z65" i="16"/>
  <c r="Z64" i="16"/>
  <c r="Z63" i="16"/>
  <c r="Z62" i="16"/>
  <c r="AE35" i="16" l="1"/>
  <c r="AE34" i="16"/>
  <c r="AE33" i="16"/>
  <c r="AD37" i="16"/>
  <c r="AD36" i="16"/>
  <c r="AD35" i="16"/>
  <c r="AD34" i="16"/>
  <c r="AD33" i="16"/>
  <c r="AD11" i="16"/>
  <c r="AD12" i="16"/>
  <c r="AD13" i="16"/>
  <c r="AD14" i="16"/>
  <c r="AD15" i="16"/>
  <c r="AD16" i="16"/>
  <c r="AE11" i="16"/>
  <c r="AE12" i="16"/>
  <c r="AE13" i="16"/>
  <c r="S3" i="16"/>
  <c r="S6" i="16"/>
  <c r="S7" i="16"/>
  <c r="S9" i="16"/>
  <c r="S65" i="16" s="1"/>
  <c r="S10" i="16"/>
  <c r="S11" i="16"/>
  <c r="W11" i="16" s="1"/>
  <c r="S12" i="16"/>
  <c r="W12" i="16" s="1"/>
  <c r="S13" i="16"/>
  <c r="W13" i="16" s="1"/>
  <c r="S14" i="16"/>
  <c r="W14" i="16" s="1"/>
  <c r="S15" i="16"/>
  <c r="S19" i="16"/>
  <c r="S20" i="16"/>
  <c r="S21" i="16"/>
  <c r="S24" i="16"/>
  <c r="S25" i="16"/>
  <c r="BB2" i="9"/>
  <c r="BB21" i="9"/>
  <c r="BB24" i="9" s="1"/>
  <c r="BB28" i="9"/>
  <c r="BB29" i="9" s="1"/>
  <c r="BB34" i="9"/>
  <c r="BB35" i="9"/>
  <c r="BB38" i="9"/>
  <c r="BB10" i="9" s="1"/>
  <c r="BB54" i="9"/>
  <c r="BB49" i="9" s="1"/>
  <c r="BB56" i="9"/>
  <c r="BB57" i="9" s="1"/>
  <c r="BB61" i="9"/>
  <c r="BB62" i="9"/>
  <c r="BB69" i="9"/>
  <c r="BB71" i="9"/>
  <c r="BB75" i="9"/>
  <c r="BB79" i="9"/>
  <c r="BB82" i="9"/>
  <c r="BB84" i="9"/>
  <c r="BB158" i="9" s="1"/>
  <c r="BB86" i="9"/>
  <c r="BB88" i="9"/>
  <c r="BB92" i="9"/>
  <c r="BB93" i="9"/>
  <c r="BB98" i="9"/>
  <c r="BB101" i="9"/>
  <c r="BB102" i="9"/>
  <c r="BB117" i="9"/>
  <c r="BB118" i="9"/>
  <c r="BB125" i="9"/>
  <c r="BB126" i="9"/>
  <c r="BB128" i="9"/>
  <c r="BB129" i="9"/>
  <c r="BB130" i="9"/>
  <c r="BB131" i="9"/>
  <c r="BB144" i="9"/>
  <c r="BB145" i="9"/>
  <c r="BB147" i="9"/>
  <c r="BB148" i="9"/>
  <c r="BB152" i="9"/>
  <c r="BB154" i="9"/>
  <c r="BB156" i="9"/>
  <c r="BB159" i="9"/>
  <c r="BB173" i="9"/>
  <c r="BB183" i="9"/>
  <c r="BB184" i="9"/>
  <c r="BB187" i="9"/>
  <c r="BB188" i="9" s="1"/>
  <c r="BB2" i="6"/>
  <c r="BB10" i="6"/>
  <c r="BB54" i="6" s="1"/>
  <c r="BB11" i="6"/>
  <c r="BB15" i="6"/>
  <c r="BB19" i="6"/>
  <c r="BB62" i="6" s="1"/>
  <c r="BB20" i="6"/>
  <c r="BB27" i="6"/>
  <c r="BB28" i="6"/>
  <c r="BB67" i="6" s="1"/>
  <c r="BB74" i="6" s="1"/>
  <c r="BB42" i="6"/>
  <c r="BB84" i="6" s="1"/>
  <c r="BB47" i="6"/>
  <c r="BB48" i="6"/>
  <c r="BB49" i="6"/>
  <c r="BB51" i="6"/>
  <c r="BB55" i="6"/>
  <c r="BB56" i="6"/>
  <c r="BB58" i="6"/>
  <c r="BB59" i="6"/>
  <c r="BB61" i="6"/>
  <c r="BB85" i="6"/>
  <c r="BB90" i="6"/>
  <c r="BB91" i="6"/>
  <c r="BB94" i="6"/>
  <c r="BB95" i="6"/>
  <c r="BB1" i="10"/>
  <c r="BB1" i="6" s="1"/>
  <c r="BB45" i="6" s="1"/>
  <c r="BB2" i="10"/>
  <c r="BB9" i="10"/>
  <c r="BB24" i="10" s="1"/>
  <c r="BB18" i="10"/>
  <c r="BB19" i="10"/>
  <c r="BB29" i="10"/>
  <c r="AE14" i="16" a="1"/>
  <c r="S23" i="16" l="1"/>
  <c r="S56" i="16" s="1"/>
  <c r="S57" i="16" s="1"/>
  <c r="AE14" i="16"/>
  <c r="S16" i="16"/>
  <c r="S8" i="16"/>
  <c r="S64" i="16" s="1"/>
  <c r="S63" i="16"/>
  <c r="S62" i="16"/>
  <c r="S66" i="16"/>
  <c r="BB43" i="6"/>
  <c r="BB33" i="10"/>
  <c r="BB34" i="10" s="1"/>
  <c r="BB104" i="9"/>
  <c r="BB30" i="9"/>
  <c r="BB106" i="9" s="1"/>
  <c r="BB103" i="9"/>
  <c r="BB31" i="10"/>
  <c r="BB30" i="10"/>
  <c r="BB132" i="9"/>
  <c r="BB140" i="9"/>
  <c r="BB141" i="9"/>
  <c r="BB20" i="10"/>
  <c r="BB94" i="9"/>
  <c r="BB142" i="9"/>
  <c r="BB139" i="9"/>
  <c r="BB135" i="9"/>
  <c r="BB169" i="9"/>
  <c r="BB136" i="9"/>
  <c r="BB138" i="9"/>
  <c r="BB26" i="10"/>
  <c r="BB25" i="10"/>
  <c r="BB170" i="9" l="1"/>
  <c r="BB175" i="9"/>
  <c r="BB176" i="9" s="1"/>
  <c r="BB95" i="9"/>
  <c r="BB96" i="9"/>
  <c r="BG23" i="6" l="1"/>
  <c r="BH23" i="6"/>
  <c r="BI23" i="6"/>
  <c r="BJ23" i="6"/>
  <c r="BK23" i="6"/>
  <c r="BL23" i="6"/>
  <c r="BM23" i="6"/>
  <c r="BN23" i="6"/>
  <c r="BO23" i="6"/>
  <c r="BG24" i="6"/>
  <c r="BH24" i="6"/>
  <c r="BI24" i="6"/>
  <c r="BJ24" i="6"/>
  <c r="BK24" i="6"/>
  <c r="BL24" i="6"/>
  <c r="BM24" i="6"/>
  <c r="BN24" i="6"/>
  <c r="BO24" i="6"/>
  <c r="BG25" i="6"/>
  <c r="BH25" i="6"/>
  <c r="BI25" i="6"/>
  <c r="BJ25" i="6"/>
  <c r="BK25" i="6"/>
  <c r="BL25" i="6"/>
  <c r="BM25" i="6"/>
  <c r="BN25" i="6"/>
  <c r="BO25" i="6"/>
  <c r="BG26" i="6"/>
  <c r="BH26" i="6"/>
  <c r="BI26" i="6"/>
  <c r="BJ26" i="6"/>
  <c r="BK26" i="6"/>
  <c r="BL26" i="6"/>
  <c r="BM26" i="6"/>
  <c r="BN26" i="6"/>
  <c r="BO26" i="6"/>
  <c r="BF24" i="6"/>
  <c r="BF25" i="6"/>
  <c r="BF26" i="6"/>
  <c r="BF23" i="6"/>
  <c r="BO12" i="6"/>
  <c r="BO13" i="6"/>
  <c r="BO14" i="6" l="1"/>
  <c r="BE102" i="9"/>
  <c r="BE101" i="9"/>
  <c r="BF102" i="9"/>
  <c r="BF101" i="9"/>
  <c r="BG102" i="9"/>
  <c r="BG101" i="9"/>
  <c r="BH102" i="9"/>
  <c r="BH101" i="9"/>
  <c r="BI102" i="9"/>
  <c r="BI101" i="9"/>
  <c r="BJ102" i="9"/>
  <c r="BJ101" i="9"/>
  <c r="J98" i="9"/>
  <c r="K98" i="9"/>
  <c r="L98" i="9"/>
  <c r="M98" i="9"/>
  <c r="N98" i="9"/>
  <c r="O98" i="9"/>
  <c r="P98" i="9"/>
  <c r="Q98" i="9"/>
  <c r="R98" i="9"/>
  <c r="S98" i="9"/>
  <c r="T98" i="9"/>
  <c r="U98" i="9"/>
  <c r="V98" i="9"/>
  <c r="W98" i="9"/>
  <c r="X98" i="9"/>
  <c r="Y98" i="9"/>
  <c r="Z98" i="9"/>
  <c r="AA98" i="9"/>
  <c r="AB98" i="9"/>
  <c r="AC98" i="9"/>
  <c r="AD98" i="9"/>
  <c r="AE98" i="9"/>
  <c r="AF98" i="9"/>
  <c r="AG98" i="9"/>
  <c r="AH98" i="9"/>
  <c r="AI98" i="9"/>
  <c r="AJ98" i="9"/>
  <c r="AK98" i="9"/>
  <c r="AL98" i="9"/>
  <c r="AM98" i="9"/>
  <c r="AN98" i="9"/>
  <c r="AO98" i="9"/>
  <c r="AP98" i="9"/>
  <c r="AQ98" i="9"/>
  <c r="AR98" i="9"/>
  <c r="AS98" i="9"/>
  <c r="AT98" i="9"/>
  <c r="AU98" i="9"/>
  <c r="AV98" i="9"/>
  <c r="AW98" i="9"/>
  <c r="AX98" i="9"/>
  <c r="AY98" i="9"/>
  <c r="AZ98" i="9"/>
  <c r="BA98" i="9"/>
  <c r="I98" i="9"/>
  <c r="AY82" i="9"/>
  <c r="AZ82" i="9"/>
  <c r="BA82" i="9"/>
  <c r="AQ102" i="9"/>
  <c r="AR102" i="9"/>
  <c r="AS102" i="9"/>
  <c r="AT102" i="9"/>
  <c r="AU102" i="9"/>
  <c r="AV102" i="9"/>
  <c r="AW102" i="9"/>
  <c r="AX102" i="9"/>
  <c r="AY102" i="9"/>
  <c r="AZ102" i="9"/>
  <c r="BA102" i="9"/>
  <c r="BA101" i="9"/>
  <c r="AZ101" i="9"/>
  <c r="AY101" i="9"/>
  <c r="AX101" i="9"/>
  <c r="AW101" i="9"/>
  <c r="AV101" i="9"/>
  <c r="AU101" i="9"/>
  <c r="AT101" i="9"/>
  <c r="AS101" i="9"/>
  <c r="AR101" i="9"/>
  <c r="AQ101" i="9"/>
  <c r="R3" i="16"/>
  <c r="R6" i="16"/>
  <c r="R7" i="16"/>
  <c r="R12" i="16"/>
  <c r="R13" i="16"/>
  <c r="R14" i="16"/>
  <c r="R15" i="16"/>
  <c r="R19" i="16"/>
  <c r="R20" i="16"/>
  <c r="R21" i="16"/>
  <c r="R24" i="16"/>
  <c r="R25" i="16"/>
  <c r="BA10" i="6"/>
  <c r="BA11" i="6"/>
  <c r="BA15" i="6"/>
  <c r="BA19" i="6"/>
  <c r="BA20" i="6"/>
  <c r="BA27" i="6"/>
  <c r="BA42" i="6"/>
  <c r="BA47" i="6"/>
  <c r="BA48" i="6"/>
  <c r="BA49" i="6"/>
  <c r="BA51" i="6"/>
  <c r="BA55" i="6"/>
  <c r="BA56" i="6"/>
  <c r="BA58" i="6"/>
  <c r="BA59" i="6"/>
  <c r="BA85" i="6"/>
  <c r="BA90" i="6"/>
  <c r="BA91" i="6"/>
  <c r="BA94" i="6"/>
  <c r="BA95" i="6"/>
  <c r="BA1" i="10"/>
  <c r="BA1" i="6" s="1"/>
  <c r="BA45" i="6" s="1"/>
  <c r="BA9" i="10"/>
  <c r="BA18" i="10"/>
  <c r="BA19" i="10"/>
  <c r="BA29" i="10"/>
  <c r="BA21" i="9"/>
  <c r="BA28" i="9"/>
  <c r="BA34" i="9"/>
  <c r="BA35" i="9"/>
  <c r="BA38" i="9"/>
  <c r="BA10" i="9" s="1"/>
  <c r="BA54" i="9"/>
  <c r="BA49" i="9" s="1"/>
  <c r="BA56" i="9"/>
  <c r="BA61" i="9"/>
  <c r="BA71" i="9"/>
  <c r="BA75" i="9"/>
  <c r="BA79" i="9"/>
  <c r="BA84" i="9"/>
  <c r="BA88" i="9"/>
  <c r="BA92" i="9"/>
  <c r="BA93" i="9"/>
  <c r="BA117" i="9"/>
  <c r="BA118" i="9"/>
  <c r="BA125" i="9"/>
  <c r="BA128" i="9"/>
  <c r="BA129" i="9"/>
  <c r="BA130" i="9"/>
  <c r="BA131" i="9"/>
  <c r="BA144" i="9"/>
  <c r="BA145" i="9"/>
  <c r="BA147" i="9"/>
  <c r="BA148" i="9"/>
  <c r="BA152" i="9"/>
  <c r="BA156" i="9"/>
  <c r="BA159" i="9"/>
  <c r="BA173" i="9"/>
  <c r="BA183" i="9"/>
  <c r="BA184" i="9"/>
  <c r="BA187" i="9"/>
  <c r="AU79" i="9"/>
  <c r="AV79" i="9"/>
  <c r="AW79" i="9"/>
  <c r="AY79" i="9"/>
  <c r="AZ79" i="9"/>
  <c r="AX79" i="9"/>
  <c r="BE42" i="9"/>
  <c r="BE43" i="9"/>
  <c r="BE44" i="9"/>
  <c r="BE45" i="9"/>
  <c r="BE46" i="9"/>
  <c r="BE47" i="9"/>
  <c r="BE48" i="9"/>
  <c r="BE41" i="9"/>
  <c r="BN12" i="6"/>
  <c r="BN13" i="6"/>
  <c r="Q14" i="16"/>
  <c r="P14" i="16"/>
  <c r="O14" i="16"/>
  <c r="N14" i="16"/>
  <c r="M14" i="16"/>
  <c r="L14" i="16"/>
  <c r="K14" i="16"/>
  <c r="J14" i="16"/>
  <c r="I14" i="16"/>
  <c r="H14" i="16"/>
  <c r="G14" i="16"/>
  <c r="F14" i="16"/>
  <c r="E14" i="16"/>
  <c r="D14" i="16"/>
  <c r="BA86" i="9" l="1"/>
  <c r="BA154" i="9"/>
  <c r="BA69" i="9"/>
  <c r="BA20" i="10"/>
  <c r="BA29" i="9"/>
  <c r="BA24" i="9"/>
  <c r="R62" i="16"/>
  <c r="R10" i="16"/>
  <c r="R66" i="16" s="1"/>
  <c r="R9" i="16"/>
  <c r="R65" i="16" s="1"/>
  <c r="R63" i="16"/>
  <c r="R23" i="16"/>
  <c r="R56" i="16" s="1"/>
  <c r="R57" i="16" s="1"/>
  <c r="R8" i="16"/>
  <c r="R64" i="16" s="1"/>
  <c r="R16" i="16"/>
  <c r="BA62" i="6"/>
  <c r="BA61" i="6"/>
  <c r="BA30" i="9"/>
  <c r="BA24" i="10"/>
  <c r="BA33" i="10"/>
  <c r="BA34" i="10" s="1"/>
  <c r="BA30" i="10"/>
  <c r="BA158" i="9"/>
  <c r="BA138" i="9"/>
  <c r="BA135" i="9"/>
  <c r="BA139" i="9"/>
  <c r="BA141" i="9"/>
  <c r="BA169" i="9"/>
  <c r="BA94" i="9"/>
  <c r="BA136" i="9"/>
  <c r="BA140" i="9"/>
  <c r="BA142" i="9"/>
  <c r="BN14" i="6"/>
  <c r="R11" i="16" l="1"/>
  <c r="BA175" i="9"/>
  <c r="AJ4" i="16" l="1"/>
  <c r="AI4" i="16" s="1"/>
  <c r="Q3" i="16"/>
  <c r="Q6" i="16"/>
  <c r="Q7" i="16"/>
  <c r="Q12" i="16"/>
  <c r="Q13" i="16"/>
  <c r="Q15" i="16"/>
  <c r="Q19" i="16"/>
  <c r="Q20" i="16"/>
  <c r="Q21" i="16"/>
  <c r="Q24" i="16"/>
  <c r="Q25" i="16"/>
  <c r="AZ71" i="9"/>
  <c r="AZ21" i="9"/>
  <c r="AZ10" i="6"/>
  <c r="BA54" i="6" s="1"/>
  <c r="AZ11" i="6"/>
  <c r="AZ15" i="6"/>
  <c r="AZ19" i="6"/>
  <c r="AZ20" i="6"/>
  <c r="AZ27" i="6"/>
  <c r="AZ42" i="6"/>
  <c r="AZ47" i="6"/>
  <c r="AZ48" i="6"/>
  <c r="AZ49" i="6"/>
  <c r="AZ51" i="6"/>
  <c r="AZ55" i="6"/>
  <c r="AZ56" i="6"/>
  <c r="AZ58" i="6"/>
  <c r="AZ59" i="6"/>
  <c r="AZ85" i="6"/>
  <c r="AZ90" i="6"/>
  <c r="AZ91" i="6"/>
  <c r="AZ94" i="6"/>
  <c r="AZ95" i="6"/>
  <c r="AZ1" i="10"/>
  <c r="AZ1" i="6" s="1"/>
  <c r="AZ45" i="6" s="1"/>
  <c r="AZ9" i="10"/>
  <c r="BA26" i="10" s="1"/>
  <c r="AZ18" i="10"/>
  <c r="AZ19" i="10"/>
  <c r="AZ29" i="10"/>
  <c r="AZ30" i="10" s="1"/>
  <c r="AZ28" i="9"/>
  <c r="AZ34" i="9"/>
  <c r="AZ35" i="9"/>
  <c r="AZ38" i="9"/>
  <c r="AZ10" i="9" s="1"/>
  <c r="AZ54" i="9"/>
  <c r="AZ56" i="9"/>
  <c r="AZ61" i="9"/>
  <c r="AZ75" i="9"/>
  <c r="AZ84" i="9"/>
  <c r="AZ88" i="9"/>
  <c r="AZ92" i="9"/>
  <c r="AZ93" i="9"/>
  <c r="AZ117" i="9"/>
  <c r="AZ118" i="9"/>
  <c r="AZ125" i="9"/>
  <c r="AZ126" i="9"/>
  <c r="AZ128" i="9"/>
  <c r="AZ129" i="9"/>
  <c r="AZ130" i="9"/>
  <c r="AZ131" i="9"/>
  <c r="AZ144" i="9"/>
  <c r="AZ145" i="9"/>
  <c r="AZ147" i="9"/>
  <c r="AZ148" i="9"/>
  <c r="AZ152" i="9"/>
  <c r="AZ156" i="9"/>
  <c r="AZ159" i="9"/>
  <c r="AZ173" i="9"/>
  <c r="AZ183" i="9"/>
  <c r="AZ184" i="9"/>
  <c r="AZ187" i="9"/>
  <c r="AI65" i="9"/>
  <c r="AJ65" i="9"/>
  <c r="AK65" i="9"/>
  <c r="AL65" i="9"/>
  <c r="AO65" i="9"/>
  <c r="AP65" i="9"/>
  <c r="AY156" i="9"/>
  <c r="BM12" i="6"/>
  <c r="BM13" i="6"/>
  <c r="BK12" i="6"/>
  <c r="BL12" i="6"/>
  <c r="BK13" i="6"/>
  <c r="BL13" i="6"/>
  <c r="AY48" i="6"/>
  <c r="AX15" i="6"/>
  <c r="AY15" i="6"/>
  <c r="P3" i="16"/>
  <c r="P6" i="16"/>
  <c r="P7" i="16"/>
  <c r="P12" i="16"/>
  <c r="P13" i="16"/>
  <c r="P15" i="16"/>
  <c r="P19" i="16"/>
  <c r="P20" i="16"/>
  <c r="P21" i="16"/>
  <c r="P24" i="16"/>
  <c r="P25" i="16"/>
  <c r="AY38" i="9"/>
  <c r="AY10" i="9" s="1"/>
  <c r="AY21" i="9"/>
  <c r="AY28" i="9"/>
  <c r="AY34" i="9"/>
  <c r="AY35" i="9"/>
  <c r="AY54" i="9"/>
  <c r="AY49" i="9" s="1"/>
  <c r="AY56" i="9"/>
  <c r="AY61" i="9"/>
  <c r="AY71" i="9"/>
  <c r="AY75" i="9"/>
  <c r="AY84" i="9"/>
  <c r="AY88" i="9"/>
  <c r="AY92" i="9"/>
  <c r="AY93" i="9"/>
  <c r="AY117" i="9"/>
  <c r="AY118" i="9"/>
  <c r="AY125" i="9"/>
  <c r="AY126" i="9"/>
  <c r="AY128" i="9"/>
  <c r="AY129" i="9"/>
  <c r="AY130" i="9"/>
  <c r="AY131" i="9"/>
  <c r="AY144" i="9"/>
  <c r="AY145" i="9"/>
  <c r="AY147" i="9"/>
  <c r="AY148" i="9"/>
  <c r="AY152" i="9"/>
  <c r="AY159" i="9"/>
  <c r="AY173" i="9"/>
  <c r="AY183" i="9"/>
  <c r="AY184" i="9"/>
  <c r="AY187" i="9"/>
  <c r="AY1" i="10"/>
  <c r="AY1" i="6" s="1"/>
  <c r="AY45" i="6" s="1"/>
  <c r="AY9" i="10"/>
  <c r="AY24" i="10" s="1"/>
  <c r="AY18" i="10"/>
  <c r="AY19" i="10"/>
  <c r="AY29" i="10"/>
  <c r="AY30" i="10" s="1"/>
  <c r="AY10" i="6"/>
  <c r="AY11" i="6"/>
  <c r="AY19" i="6"/>
  <c r="AY20" i="6"/>
  <c r="AY27" i="6"/>
  <c r="AY42" i="6"/>
  <c r="AY47" i="6"/>
  <c r="AY49" i="6"/>
  <c r="AY51" i="6"/>
  <c r="AY55" i="6"/>
  <c r="AY56" i="6"/>
  <c r="AY58" i="6"/>
  <c r="AY59" i="6"/>
  <c r="AY85" i="6"/>
  <c r="AY90" i="6"/>
  <c r="AY91" i="6"/>
  <c r="AY94" i="6"/>
  <c r="AY95" i="6"/>
  <c r="AX71" i="9"/>
  <c r="AW71" i="9"/>
  <c r="AV71" i="9"/>
  <c r="AU71" i="9"/>
  <c r="AT71" i="9"/>
  <c r="AS71" i="9"/>
  <c r="AR71" i="9"/>
  <c r="AQ71" i="9"/>
  <c r="AP71" i="9"/>
  <c r="AO71" i="9"/>
  <c r="AN71" i="9"/>
  <c r="AM71" i="9"/>
  <c r="AL71" i="9"/>
  <c r="AK71" i="9"/>
  <c r="AJ71" i="9"/>
  <c r="AI71" i="9"/>
  <c r="AH71" i="9"/>
  <c r="AG71" i="9"/>
  <c r="AF71" i="9"/>
  <c r="AE71" i="9"/>
  <c r="AX128" i="9"/>
  <c r="E6" i="16"/>
  <c r="F6" i="16"/>
  <c r="G6" i="16"/>
  <c r="H6" i="16"/>
  <c r="I6" i="16"/>
  <c r="J6" i="16"/>
  <c r="K6" i="16"/>
  <c r="L6" i="16"/>
  <c r="M6" i="16"/>
  <c r="N6" i="16"/>
  <c r="O6" i="16"/>
  <c r="E7" i="16"/>
  <c r="F7" i="16"/>
  <c r="G7" i="16"/>
  <c r="H7" i="16"/>
  <c r="I7" i="16"/>
  <c r="J7" i="16"/>
  <c r="K7" i="16"/>
  <c r="L7" i="16"/>
  <c r="M7" i="16"/>
  <c r="N7" i="16"/>
  <c r="O7" i="16"/>
  <c r="K9" i="16"/>
  <c r="L9" i="16"/>
  <c r="M9" i="16"/>
  <c r="N9" i="16"/>
  <c r="O9" i="16"/>
  <c r="D7" i="16"/>
  <c r="D6" i="16"/>
  <c r="E4" i="16"/>
  <c r="G25" i="16"/>
  <c r="G24" i="16"/>
  <c r="G21" i="16"/>
  <c r="G20" i="16"/>
  <c r="G19" i="16"/>
  <c r="G15" i="16"/>
  <c r="G13" i="16"/>
  <c r="G12" i="16"/>
  <c r="G3" i="16"/>
  <c r="F25" i="16"/>
  <c r="F24" i="16"/>
  <c r="F21" i="16"/>
  <c r="F20" i="16"/>
  <c r="F19" i="16"/>
  <c r="F15" i="16"/>
  <c r="F13" i="16"/>
  <c r="F12" i="16"/>
  <c r="F3" i="16"/>
  <c r="E25" i="16"/>
  <c r="E24" i="16"/>
  <c r="E21" i="16"/>
  <c r="E20" i="16"/>
  <c r="E19" i="16"/>
  <c r="E15" i="16"/>
  <c r="E13" i="16"/>
  <c r="E12" i="16"/>
  <c r="E3" i="16"/>
  <c r="D25" i="16"/>
  <c r="D24" i="16"/>
  <c r="D21" i="16"/>
  <c r="D20" i="16"/>
  <c r="D19" i="16"/>
  <c r="D15" i="16"/>
  <c r="D13" i="16"/>
  <c r="D12" i="16"/>
  <c r="D3" i="16"/>
  <c r="AA4" i="16"/>
  <c r="AA3" i="16"/>
  <c r="AB3" i="16" s="1"/>
  <c r="Q28" i="16" l="1"/>
  <c r="AB4" i="16"/>
  <c r="S29" i="16"/>
  <c r="S31" i="16"/>
  <c r="S28" i="16"/>
  <c r="AZ158" i="9"/>
  <c r="BA104" i="9"/>
  <c r="AZ154" i="9"/>
  <c r="AZ24" i="9"/>
  <c r="AZ69" i="9"/>
  <c r="AZ20" i="10"/>
  <c r="R31" i="16"/>
  <c r="R28" i="16"/>
  <c r="R29" i="16"/>
  <c r="AZ49" i="9"/>
  <c r="Q63" i="16"/>
  <c r="F4" i="16"/>
  <c r="G4" i="16" s="1"/>
  <c r="H4" i="16" s="1"/>
  <c r="Q9" i="16"/>
  <c r="Q65" i="16" s="1"/>
  <c r="Q8" i="16"/>
  <c r="Q64" i="16" s="1"/>
  <c r="BM14" i="6"/>
  <c r="AY158" i="9"/>
  <c r="AY29" i="9"/>
  <c r="AY154" i="9"/>
  <c r="AY24" i="9"/>
  <c r="AY69" i="9"/>
  <c r="AZ54" i="6"/>
  <c r="Q62" i="16"/>
  <c r="BL14" i="6"/>
  <c r="AZ26" i="10"/>
  <c r="Q10" i="16"/>
  <c r="Q66" i="16" s="1"/>
  <c r="Q23" i="16"/>
  <c r="Q56" i="16" s="1"/>
  <c r="Q57" i="16" s="1"/>
  <c r="Q29" i="16"/>
  <c r="Q16" i="16"/>
  <c r="AZ86" i="9"/>
  <c r="AZ33" i="10"/>
  <c r="AZ34" i="10" s="1"/>
  <c r="AZ62" i="6"/>
  <c r="AZ61" i="6"/>
  <c r="AZ104" i="9"/>
  <c r="AZ24" i="10"/>
  <c r="AZ94" i="9"/>
  <c r="BA96" i="9" s="1"/>
  <c r="AZ136" i="9"/>
  <c r="AZ138" i="9"/>
  <c r="AZ169" i="9"/>
  <c r="AZ139" i="9"/>
  <c r="AZ135" i="9"/>
  <c r="AZ140" i="9"/>
  <c r="AZ141" i="9"/>
  <c r="AZ29" i="9"/>
  <c r="AZ142" i="9"/>
  <c r="BK14" i="6"/>
  <c r="F63" i="16"/>
  <c r="G63" i="16"/>
  <c r="G62" i="16"/>
  <c r="P63" i="16"/>
  <c r="P10" i="16"/>
  <c r="P66" i="16" s="1"/>
  <c r="D63" i="16"/>
  <c r="D62" i="16"/>
  <c r="E63" i="16"/>
  <c r="AY86" i="9"/>
  <c r="P62" i="16"/>
  <c r="F62" i="16"/>
  <c r="E62" i="16"/>
  <c r="P9" i="16"/>
  <c r="P65" i="16" s="1"/>
  <c r="P29" i="16"/>
  <c r="P8" i="16"/>
  <c r="P64" i="16" s="1"/>
  <c r="P28" i="16"/>
  <c r="P23" i="16"/>
  <c r="P56" i="16" s="1"/>
  <c r="P57" i="16" s="1"/>
  <c r="P16" i="16"/>
  <c r="K29" i="16"/>
  <c r="AY61" i="6"/>
  <c r="AY62" i="6"/>
  <c r="I28" i="16"/>
  <c r="G23" i="16"/>
  <c r="G56" i="16" s="1"/>
  <c r="G57" i="16" s="1"/>
  <c r="H28" i="16"/>
  <c r="K28" i="16"/>
  <c r="I29" i="16"/>
  <c r="H29" i="16"/>
  <c r="J29" i="16"/>
  <c r="J28" i="16"/>
  <c r="F16" i="16"/>
  <c r="H8" i="16"/>
  <c r="K8" i="16"/>
  <c r="F8" i="16"/>
  <c r="F64" i="16" s="1"/>
  <c r="AY33" i="10"/>
  <c r="AY34" i="10" s="1"/>
  <c r="AY94" i="9"/>
  <c r="AY136" i="9"/>
  <c r="AY138" i="9"/>
  <c r="AY139" i="9"/>
  <c r="AY135" i="9"/>
  <c r="AY140" i="9"/>
  <c r="AY141" i="9"/>
  <c r="AY169" i="9"/>
  <c r="AY20" i="10"/>
  <c r="AY52" i="9"/>
  <c r="AY142" i="9" s="1"/>
  <c r="D8" i="16"/>
  <c r="D64" i="16" s="1"/>
  <c r="E23" i="16"/>
  <c r="E56" i="16" s="1"/>
  <c r="E57" i="16" s="1"/>
  <c r="N8" i="16"/>
  <c r="F23" i="16"/>
  <c r="F56" i="16" s="1"/>
  <c r="F57" i="16" s="1"/>
  <c r="O31" i="16"/>
  <c r="M8" i="16"/>
  <c r="E8" i="16"/>
  <c r="E64" i="16" s="1"/>
  <c r="I8" i="16"/>
  <c r="L8" i="16"/>
  <c r="E16" i="16"/>
  <c r="O8" i="16"/>
  <c r="G8" i="16"/>
  <c r="G64" i="16" s="1"/>
  <c r="J8" i="16"/>
  <c r="G16" i="16"/>
  <c r="D16" i="16"/>
  <c r="D23" i="16"/>
  <c r="D56" i="16" s="1"/>
  <c r="D57" i="16" s="1"/>
  <c r="S30" i="16" l="1"/>
  <c r="AZ30" i="9"/>
  <c r="R30" i="16"/>
  <c r="Q31" i="16"/>
  <c r="AY30" i="9"/>
  <c r="Q30" i="16"/>
  <c r="P31" i="16"/>
  <c r="AZ175" i="9"/>
  <c r="AZ96" i="9"/>
  <c r="P30" i="16"/>
  <c r="I30" i="16"/>
  <c r="K30" i="16"/>
  <c r="J30" i="16"/>
  <c r="H30" i="16"/>
  <c r="AY175" i="9"/>
  <c r="I4" i="16"/>
  <c r="Q11" i="16" l="1"/>
  <c r="P11" i="16"/>
  <c r="J4" i="16"/>
  <c r="K4" i="16" l="1"/>
  <c r="L4" i="16" l="1"/>
  <c r="M4" i="16" l="1"/>
  <c r="I15" i="16"/>
  <c r="I36" i="16" s="1"/>
  <c r="J15" i="16"/>
  <c r="J36" i="16" s="1"/>
  <c r="K15" i="16"/>
  <c r="K36" i="16" s="1"/>
  <c r="L15" i="16"/>
  <c r="M15" i="16"/>
  <c r="Q36" i="16" s="1"/>
  <c r="N15" i="16"/>
  <c r="R36" i="16" s="1"/>
  <c r="O15" i="16"/>
  <c r="S36" i="16" s="1"/>
  <c r="H15" i="16"/>
  <c r="H36" i="16" s="1"/>
  <c r="I3" i="16"/>
  <c r="J3" i="16"/>
  <c r="K3" i="16"/>
  <c r="L3" i="16"/>
  <c r="M3" i="16"/>
  <c r="N3" i="16"/>
  <c r="O3" i="16"/>
  <c r="H3" i="16"/>
  <c r="O12" i="16"/>
  <c r="S34" i="16" s="1"/>
  <c r="O13" i="16"/>
  <c r="S35" i="16" s="1"/>
  <c r="O19" i="16"/>
  <c r="S47" i="16" s="1"/>
  <c r="O20" i="16"/>
  <c r="S48" i="16" s="1"/>
  <c r="O21" i="16"/>
  <c r="S49" i="16" s="1"/>
  <c r="O24" i="16"/>
  <c r="S52" i="16" s="1"/>
  <c r="O25" i="16"/>
  <c r="S53" i="16" s="1"/>
  <c r="AX10" i="6"/>
  <c r="AY54" i="6" s="1"/>
  <c r="AX11" i="6"/>
  <c r="AX19" i="6"/>
  <c r="AX20" i="6"/>
  <c r="AX27" i="6"/>
  <c r="AX42" i="6"/>
  <c r="AX47" i="6"/>
  <c r="AX48" i="6"/>
  <c r="AX49" i="6"/>
  <c r="AX51" i="6"/>
  <c r="AX55" i="6"/>
  <c r="AX56" i="6"/>
  <c r="AX58" i="6"/>
  <c r="AX59" i="6"/>
  <c r="AX85" i="6"/>
  <c r="AX90" i="6"/>
  <c r="AX91" i="6"/>
  <c r="AX94" i="6"/>
  <c r="AX95" i="6"/>
  <c r="AX1" i="10"/>
  <c r="AX1" i="6" s="1"/>
  <c r="AX45" i="6" s="1"/>
  <c r="AX9" i="10"/>
  <c r="AX18" i="10"/>
  <c r="AX19" i="10"/>
  <c r="AX29" i="10"/>
  <c r="AX30" i="10" s="1"/>
  <c r="AX24" i="9"/>
  <c r="AX28" i="9"/>
  <c r="AX34" i="9"/>
  <c r="AX35" i="9"/>
  <c r="AX38" i="9"/>
  <c r="AX10" i="9" s="1"/>
  <c r="AX54" i="9"/>
  <c r="AX49" i="9" s="1"/>
  <c r="AX56" i="9"/>
  <c r="AX61" i="9"/>
  <c r="AX69" i="9"/>
  <c r="AX75" i="9"/>
  <c r="AX84" i="9"/>
  <c r="AX88" i="9"/>
  <c r="AX92" i="9"/>
  <c r="AX93" i="9"/>
  <c r="AX117" i="9"/>
  <c r="AX118" i="9"/>
  <c r="AX125" i="9"/>
  <c r="AX129" i="9"/>
  <c r="AX130" i="9"/>
  <c r="AX131" i="9"/>
  <c r="AX144" i="9"/>
  <c r="AX145" i="9"/>
  <c r="AX147" i="9"/>
  <c r="AX148" i="9"/>
  <c r="AX152" i="9"/>
  <c r="AX156" i="9"/>
  <c r="AX159" i="9"/>
  <c r="AX173" i="9"/>
  <c r="AX183" i="9"/>
  <c r="AX184" i="9"/>
  <c r="AX187" i="9"/>
  <c r="N12" i="16"/>
  <c r="R34" i="16" s="1"/>
  <c r="N13" i="16"/>
  <c r="R35" i="16" s="1"/>
  <c r="N19" i="16"/>
  <c r="R47" i="16" s="1"/>
  <c r="N20" i="16"/>
  <c r="R48" i="16" s="1"/>
  <c r="N21" i="16"/>
  <c r="R49" i="16" s="1"/>
  <c r="N24" i="16"/>
  <c r="R52" i="16" s="1"/>
  <c r="N25" i="16"/>
  <c r="R53" i="16" s="1"/>
  <c r="AW35" i="9"/>
  <c r="AV35" i="9"/>
  <c r="AU35" i="9"/>
  <c r="AT35" i="9"/>
  <c r="AS35" i="9"/>
  <c r="AV34" i="9"/>
  <c r="AU34" i="9"/>
  <c r="AT34" i="9"/>
  <c r="AS34" i="9"/>
  <c r="AW34" i="9"/>
  <c r="AW53" i="9"/>
  <c r="AW95" i="6"/>
  <c r="AW94" i="6"/>
  <c r="AW91" i="6"/>
  <c r="AW90" i="6"/>
  <c r="AW85" i="6"/>
  <c r="AW59" i="6"/>
  <c r="AW58" i="6"/>
  <c r="AW56" i="6"/>
  <c r="AW55" i="6"/>
  <c r="AW51" i="6"/>
  <c r="AW49" i="6"/>
  <c r="AW48" i="6"/>
  <c r="AW47" i="6"/>
  <c r="AW42" i="6"/>
  <c r="AW27" i="6"/>
  <c r="AW20" i="6"/>
  <c r="AW19" i="6"/>
  <c r="AW11" i="6"/>
  <c r="AW10" i="6"/>
  <c r="AW29" i="10"/>
  <c r="BA31" i="10" s="1"/>
  <c r="AW19" i="10"/>
  <c r="AW18" i="10"/>
  <c r="AW9" i="10"/>
  <c r="BA25" i="10" s="1"/>
  <c r="AW1" i="10"/>
  <c r="AW1" i="6" s="1"/>
  <c r="AW45" i="6" s="1"/>
  <c r="AW187" i="9"/>
  <c r="BA188" i="9" s="1"/>
  <c r="AW184" i="9"/>
  <c r="AW183" i="9"/>
  <c r="AW173" i="9"/>
  <c r="AW159" i="9"/>
  <c r="AW156" i="9"/>
  <c r="AW152" i="9"/>
  <c r="AW148" i="9"/>
  <c r="AW147" i="9"/>
  <c r="AW145" i="9"/>
  <c r="AW144" i="9"/>
  <c r="AW131" i="9"/>
  <c r="AW130" i="9"/>
  <c r="AW129" i="9"/>
  <c r="AW128" i="9"/>
  <c r="AW125" i="9"/>
  <c r="AW118" i="9"/>
  <c r="AW117" i="9"/>
  <c r="AW93" i="9"/>
  <c r="AW92" i="9"/>
  <c r="AW88" i="9"/>
  <c r="AW84" i="9"/>
  <c r="AW75" i="9"/>
  <c r="AW69" i="9"/>
  <c r="AW61" i="9"/>
  <c r="BA62" i="9" s="1"/>
  <c r="AW56" i="9"/>
  <c r="BA57" i="9" s="1"/>
  <c r="AW54" i="9"/>
  <c r="AW38" i="9"/>
  <c r="AW10" i="9" s="1"/>
  <c r="AW28" i="9"/>
  <c r="AW24" i="9"/>
  <c r="I12" i="16"/>
  <c r="J12" i="16"/>
  <c r="K12" i="16"/>
  <c r="L12" i="16"/>
  <c r="M12" i="16"/>
  <c r="Q34" i="16" s="1"/>
  <c r="I13" i="16"/>
  <c r="J13" i="16"/>
  <c r="J35" i="16" s="1"/>
  <c r="K13" i="16"/>
  <c r="K35" i="16" s="1"/>
  <c r="L13" i="16"/>
  <c r="P35" i="16" s="1"/>
  <c r="M13" i="16"/>
  <c r="Q35" i="16" s="1"/>
  <c r="I19" i="16"/>
  <c r="I47" i="16" s="1"/>
  <c r="J19" i="16"/>
  <c r="J47" i="16" s="1"/>
  <c r="K19" i="16"/>
  <c r="K47" i="16" s="1"/>
  <c r="L19" i="16"/>
  <c r="P47" i="16" s="1"/>
  <c r="M19" i="16"/>
  <c r="Q47" i="16" s="1"/>
  <c r="I20" i="16"/>
  <c r="I48" i="16" s="1"/>
  <c r="J20" i="16"/>
  <c r="J48" i="16" s="1"/>
  <c r="K20" i="16"/>
  <c r="K48" i="16" s="1"/>
  <c r="L20" i="16"/>
  <c r="P48" i="16" s="1"/>
  <c r="M20" i="16"/>
  <c r="Q48" i="16" s="1"/>
  <c r="I21" i="16"/>
  <c r="I49" i="16" s="1"/>
  <c r="J21" i="16"/>
  <c r="J49" i="16" s="1"/>
  <c r="K21" i="16"/>
  <c r="K49" i="16" s="1"/>
  <c r="L21" i="16"/>
  <c r="P49" i="16" s="1"/>
  <c r="M21" i="16"/>
  <c r="Q49" i="16" s="1"/>
  <c r="I24" i="16"/>
  <c r="J24" i="16"/>
  <c r="K24" i="16"/>
  <c r="L24" i="16"/>
  <c r="P52" i="16" s="1"/>
  <c r="M24" i="16"/>
  <c r="Q52" i="16" s="1"/>
  <c r="I25" i="16"/>
  <c r="I53" i="16" s="1"/>
  <c r="J25" i="16"/>
  <c r="J53" i="16" s="1"/>
  <c r="K25" i="16"/>
  <c r="K53" i="16" s="1"/>
  <c r="L25" i="16"/>
  <c r="P53" i="16" s="1"/>
  <c r="M25" i="16"/>
  <c r="Q53" i="16" s="1"/>
  <c r="H25" i="16"/>
  <c r="H53" i="16" s="1"/>
  <c r="H24" i="16"/>
  <c r="H21" i="16"/>
  <c r="H49" i="16" s="1"/>
  <c r="H20" i="16"/>
  <c r="H48" i="16" s="1"/>
  <c r="H19" i="16"/>
  <c r="H47" i="16" s="1"/>
  <c r="H13" i="16"/>
  <c r="H35" i="16" s="1"/>
  <c r="H12" i="16"/>
  <c r="BA103" i="9" l="1"/>
  <c r="BA43" i="6"/>
  <c r="BA84" i="6"/>
  <c r="AW49" i="9"/>
  <c r="BA132" i="9"/>
  <c r="AW126" i="9"/>
  <c r="BA126" i="9"/>
  <c r="P36" i="16"/>
  <c r="N4" i="16"/>
  <c r="AW154" i="9"/>
  <c r="AW158" i="9"/>
  <c r="AW20" i="10"/>
  <c r="AX20" i="10"/>
  <c r="AX158" i="9"/>
  <c r="AX154" i="9"/>
  <c r="P34" i="16"/>
  <c r="L63" i="16"/>
  <c r="L65" i="16"/>
  <c r="L62" i="16"/>
  <c r="L64" i="16"/>
  <c r="K34" i="16"/>
  <c r="K63" i="16"/>
  <c r="K65" i="16"/>
  <c r="K62" i="16"/>
  <c r="K64" i="16"/>
  <c r="O63" i="16"/>
  <c r="O65" i="16"/>
  <c r="O62" i="16"/>
  <c r="O64" i="16"/>
  <c r="M63" i="16"/>
  <c r="M65" i="16"/>
  <c r="M62" i="16"/>
  <c r="M64" i="16"/>
  <c r="J34" i="16"/>
  <c r="J63" i="16"/>
  <c r="J62" i="16"/>
  <c r="J64" i="16"/>
  <c r="I34" i="16"/>
  <c r="I63" i="16"/>
  <c r="I62" i="16"/>
  <c r="I64" i="16"/>
  <c r="N63" i="16"/>
  <c r="N65" i="16"/>
  <c r="N62" i="16"/>
  <c r="N64" i="16"/>
  <c r="H34" i="16"/>
  <c r="H63" i="16"/>
  <c r="H62" i="16"/>
  <c r="H64" i="16"/>
  <c r="AX24" i="10"/>
  <c r="AY26" i="10"/>
  <c r="O10" i="16"/>
  <c r="AY104" i="9"/>
  <c r="H52" i="16"/>
  <c r="N52" i="16"/>
  <c r="J52" i="16"/>
  <c r="O36" i="16"/>
  <c r="K52" i="16"/>
  <c r="I52" i="16"/>
  <c r="I16" i="16"/>
  <c r="I37" i="16" s="1"/>
  <c r="I35" i="16"/>
  <c r="O52" i="16"/>
  <c r="N36" i="16"/>
  <c r="M36" i="16"/>
  <c r="L36" i="16"/>
  <c r="AX26" i="10"/>
  <c r="AX54" i="6"/>
  <c r="AW29" i="9"/>
  <c r="N10" i="16"/>
  <c r="O16" i="16"/>
  <c r="S37" i="16" s="1"/>
  <c r="O47" i="16"/>
  <c r="J16" i="16"/>
  <c r="J37" i="16" s="1"/>
  <c r="K16" i="16"/>
  <c r="K37" i="16" s="1"/>
  <c r="O49" i="16"/>
  <c r="M16" i="16"/>
  <c r="Q37" i="16" s="1"/>
  <c r="L16" i="16"/>
  <c r="P37" i="16" s="1"/>
  <c r="H16" i="16"/>
  <c r="H37" i="16" s="1"/>
  <c r="O23" i="16"/>
  <c r="N16" i="16"/>
  <c r="R37" i="16" s="1"/>
  <c r="O29" i="16"/>
  <c r="O34" i="16"/>
  <c r="O48" i="16"/>
  <c r="O53" i="16"/>
  <c r="O28" i="16"/>
  <c r="O35" i="16"/>
  <c r="AW50" i="9"/>
  <c r="AX62" i="6"/>
  <c r="AX61" i="6"/>
  <c r="M49" i="16"/>
  <c r="AX33" i="10"/>
  <c r="AX34" i="10" s="1"/>
  <c r="AX86" i="9"/>
  <c r="AX104" i="9"/>
  <c r="AX94" i="9"/>
  <c r="AY96" i="9" s="1"/>
  <c r="AX169" i="9"/>
  <c r="AX175" i="9" s="1"/>
  <c r="AX135" i="9"/>
  <c r="AX29" i="9"/>
  <c r="AX30" i="9"/>
  <c r="N34" i="16"/>
  <c r="AX141" i="9"/>
  <c r="AX140" i="9"/>
  <c r="AX138" i="9"/>
  <c r="AX139" i="9"/>
  <c r="L47" i="16"/>
  <c r="N49" i="16"/>
  <c r="N35" i="16"/>
  <c r="N53" i="16"/>
  <c r="N23" i="16"/>
  <c r="N48" i="16"/>
  <c r="N47" i="16"/>
  <c r="N29" i="16"/>
  <c r="N28" i="16"/>
  <c r="L53" i="16"/>
  <c r="M47" i="16"/>
  <c r="M48" i="16"/>
  <c r="H23" i="16"/>
  <c r="H51" i="16" s="1"/>
  <c r="AW33" i="10"/>
  <c r="AW34" i="10" s="1"/>
  <c r="AW62" i="6"/>
  <c r="AW61" i="6"/>
  <c r="AW30" i="9"/>
  <c r="AW24" i="10"/>
  <c r="I23" i="16"/>
  <c r="I51" i="16" s="1"/>
  <c r="AW30" i="10"/>
  <c r="AW169" i="9"/>
  <c r="BA170" i="9" s="1"/>
  <c r="AW135" i="9"/>
  <c r="AW136" i="9"/>
  <c r="AW94" i="9"/>
  <c r="BA95" i="9" s="1"/>
  <c r="AW141" i="9"/>
  <c r="AW140" i="9"/>
  <c r="AW139" i="9"/>
  <c r="AW138" i="9"/>
  <c r="AW86" i="9"/>
  <c r="M35" i="16"/>
  <c r="L35" i="16"/>
  <c r="M34" i="16"/>
  <c r="L49" i="16"/>
  <c r="L34" i="16"/>
  <c r="M53" i="16"/>
  <c r="J23" i="16"/>
  <c r="J51" i="16" s="1"/>
  <c r="L48" i="16"/>
  <c r="M23" i="16"/>
  <c r="Q51" i="16" s="1"/>
  <c r="L23" i="16"/>
  <c r="L28" i="16"/>
  <c r="K23" i="16"/>
  <c r="K51" i="16" s="1"/>
  <c r="M28" i="16"/>
  <c r="L29" i="16"/>
  <c r="M52" i="16"/>
  <c r="M29" i="16"/>
  <c r="L52" i="16"/>
  <c r="O66" i="16" l="1"/>
  <c r="S32" i="16"/>
  <c r="O56" i="16"/>
  <c r="O57" i="16" s="1"/>
  <c r="S51" i="16"/>
  <c r="BA106" i="9"/>
  <c r="N66" i="16"/>
  <c r="R32" i="16"/>
  <c r="N56" i="16"/>
  <c r="N57" i="16" s="1"/>
  <c r="R51" i="16"/>
  <c r="O4" i="16"/>
  <c r="O11" i="16"/>
  <c r="N11" i="16"/>
  <c r="L56" i="16"/>
  <c r="L57" i="16" s="1"/>
  <c r="P51" i="16"/>
  <c r="I56" i="16"/>
  <c r="I57" i="16" s="1"/>
  <c r="K56" i="16"/>
  <c r="K57" i="16" s="1"/>
  <c r="M37" i="16"/>
  <c r="J56" i="16"/>
  <c r="J57" i="16" s="1"/>
  <c r="H56" i="16"/>
  <c r="H57" i="16" s="1"/>
  <c r="N37" i="16"/>
  <c r="O37" i="16"/>
  <c r="L37" i="16"/>
  <c r="O51" i="16"/>
  <c r="AX96" i="9"/>
  <c r="AX136" i="9"/>
  <c r="AX126" i="9"/>
  <c r="N51" i="16"/>
  <c r="M51" i="16"/>
  <c r="L51" i="16"/>
  <c r="AW175" i="9"/>
  <c r="BA176" i="9" s="1"/>
  <c r="M56" i="16"/>
  <c r="M57" i="16" s="1"/>
  <c r="BJ12" i="6"/>
  <c r="BJ13" i="6"/>
  <c r="S33" i="16" l="1"/>
  <c r="S76" i="16" s="1"/>
  <c r="S72" i="16"/>
  <c r="S74" i="16"/>
  <c r="S71" i="16"/>
  <c r="S73" i="16"/>
  <c r="S75" i="16"/>
  <c r="R33" i="16"/>
  <c r="R76" i="16" s="1"/>
  <c r="R74" i="16"/>
  <c r="R71" i="16"/>
  <c r="R72" i="16"/>
  <c r="R73" i="16"/>
  <c r="R75" i="16"/>
  <c r="P4" i="16"/>
  <c r="BJ14" i="6"/>
  <c r="Q4" i="16" l="1"/>
  <c r="R4" i="16" s="1"/>
  <c r="S4" i="16" s="1"/>
  <c r="AI16" i="16"/>
  <c r="Y13" i="16"/>
  <c r="AV156" i="9"/>
  <c r="AV95" i="6"/>
  <c r="AV94" i="6"/>
  <c r="AV91" i="6"/>
  <c r="AV90" i="6"/>
  <c r="AV85" i="6"/>
  <c r="AV59" i="6"/>
  <c r="AV58" i="6"/>
  <c r="AV56" i="6"/>
  <c r="AV55" i="6"/>
  <c r="AV51" i="6"/>
  <c r="AV49" i="6"/>
  <c r="AV48" i="6"/>
  <c r="AV47" i="6"/>
  <c r="AV42" i="6"/>
  <c r="AV27" i="6"/>
  <c r="AV20" i="6"/>
  <c r="AV19" i="6"/>
  <c r="AV11" i="6"/>
  <c r="AV10" i="6"/>
  <c r="AW54" i="6" s="1"/>
  <c r="AV29" i="10"/>
  <c r="AZ31" i="10" s="1"/>
  <c r="AV19" i="10"/>
  <c r="AV18" i="10"/>
  <c r="AV9" i="10"/>
  <c r="AV1" i="10"/>
  <c r="AV1" i="6" s="1"/>
  <c r="AV45" i="6" s="1"/>
  <c r="AV187" i="9"/>
  <c r="AZ188" i="9" s="1"/>
  <c r="AV184" i="9"/>
  <c r="AV183" i="9"/>
  <c r="AV173" i="9"/>
  <c r="AV159" i="9"/>
  <c r="AV152" i="9"/>
  <c r="AV148" i="9"/>
  <c r="AV147" i="9"/>
  <c r="AV145" i="9"/>
  <c r="AV144" i="9"/>
  <c r="AV131" i="9"/>
  <c r="AV130" i="9"/>
  <c r="AV129" i="9"/>
  <c r="AV128" i="9"/>
  <c r="AV125" i="9"/>
  <c r="AV118" i="9"/>
  <c r="AV117" i="9"/>
  <c r="AV93" i="9"/>
  <c r="AV92" i="9"/>
  <c r="AV88" i="9"/>
  <c r="AV84" i="9"/>
  <c r="AV75" i="9"/>
  <c r="AV69" i="9"/>
  <c r="AV61" i="9"/>
  <c r="AZ62" i="9" s="1"/>
  <c r="AV56" i="9"/>
  <c r="AZ57" i="9" s="1"/>
  <c r="AV54" i="9"/>
  <c r="BE54" i="9" s="1"/>
  <c r="AV126" i="9"/>
  <c r="AV38" i="9"/>
  <c r="AV28" i="9"/>
  <c r="AV24" i="9"/>
  <c r="AB9" i="16" l="1"/>
  <c r="AB10" i="16"/>
  <c r="AB6" i="16"/>
  <c r="AB7" i="16"/>
  <c r="AB14" i="16"/>
  <c r="AB8" i="16"/>
  <c r="AB16" i="16"/>
  <c r="AB37" i="16" s="1"/>
  <c r="AB13" i="16"/>
  <c r="AB35" i="16" s="1"/>
  <c r="AB15" i="16"/>
  <c r="AB11" i="16"/>
  <c r="AB12" i="16"/>
  <c r="Z16" i="16"/>
  <c r="AI14" i="16"/>
  <c r="Y14" i="16"/>
  <c r="AJ14" i="16"/>
  <c r="Z14" i="16"/>
  <c r="AA14" i="16"/>
  <c r="AW26" i="10"/>
  <c r="AZ25" i="10"/>
  <c r="Y16" i="16"/>
  <c r="AA16" i="16"/>
  <c r="AZ43" i="6"/>
  <c r="AZ84" i="6"/>
  <c r="AI13" i="16"/>
  <c r="AI7" i="16"/>
  <c r="AJ8" i="16"/>
  <c r="AJ13" i="16"/>
  <c r="AJ15" i="16"/>
  <c r="AI15" i="16"/>
  <c r="AI8" i="16"/>
  <c r="AJ16" i="16"/>
  <c r="AK16" i="16" s="1"/>
  <c r="AI12" i="16"/>
  <c r="AI9" i="16"/>
  <c r="AJ6" i="16"/>
  <c r="AJ12" i="16"/>
  <c r="AJ9" i="16"/>
  <c r="AI6" i="16"/>
  <c r="AJ10" i="16"/>
  <c r="AJ7" i="16"/>
  <c r="Z12" i="16"/>
  <c r="AA15" i="16"/>
  <c r="AA12" i="16"/>
  <c r="AA6" i="16"/>
  <c r="AJ11" i="16"/>
  <c r="Z13" i="16"/>
  <c r="Z35" i="16" s="1"/>
  <c r="Y7" i="16"/>
  <c r="AA7" i="16"/>
  <c r="Y8" i="16"/>
  <c r="Z7" i="16"/>
  <c r="Z15" i="16"/>
  <c r="Y15" i="16"/>
  <c r="AA9" i="16"/>
  <c r="Y12" i="16"/>
  <c r="AZ103" i="9"/>
  <c r="AA13" i="16"/>
  <c r="AV49" i="9"/>
  <c r="AZ132" i="9"/>
  <c r="Y6" i="16"/>
  <c r="Z6" i="16"/>
  <c r="AW104" i="9"/>
  <c r="M10" i="16"/>
  <c r="AV154" i="9"/>
  <c r="AV158" i="9"/>
  <c r="AV29" i="9"/>
  <c r="AV10" i="9"/>
  <c r="AV30" i="9"/>
  <c r="AV61" i="6"/>
  <c r="AV62" i="6"/>
  <c r="AV33" i="10"/>
  <c r="AV34" i="10" s="1"/>
  <c r="AV24" i="10"/>
  <c r="AV30" i="10"/>
  <c r="AV86" i="9"/>
  <c r="S11" i="6"/>
  <c r="T11" i="6"/>
  <c r="U11" i="6"/>
  <c r="V11" i="6"/>
  <c r="W11" i="6"/>
  <c r="X11" i="6"/>
  <c r="Y11" i="6"/>
  <c r="Z11" i="6"/>
  <c r="AA11" i="6"/>
  <c r="AB11" i="6"/>
  <c r="AC11" i="6"/>
  <c r="AD11" i="6"/>
  <c r="AE11" i="6"/>
  <c r="AF11" i="6"/>
  <c r="AG11" i="6"/>
  <c r="AH11" i="6"/>
  <c r="AI11" i="6"/>
  <c r="AJ11" i="6"/>
  <c r="AK11" i="6"/>
  <c r="AL11" i="6"/>
  <c r="AM11" i="6"/>
  <c r="AN11" i="6"/>
  <c r="AO11" i="6"/>
  <c r="AP11" i="6"/>
  <c r="AQ11" i="6"/>
  <c r="AR11" i="6"/>
  <c r="AS11" i="6"/>
  <c r="AT11" i="6"/>
  <c r="AU11" i="6"/>
  <c r="Q11" i="6"/>
  <c r="R11" i="6"/>
  <c r="P11" i="6"/>
  <c r="M11" i="6"/>
  <c r="N11" i="6"/>
  <c r="O11" i="6"/>
  <c r="AB29" i="16" l="1"/>
  <c r="AB34" i="16"/>
  <c r="AB28" i="16"/>
  <c r="AB36" i="16"/>
  <c r="AB31" i="16"/>
  <c r="AK7" i="16"/>
  <c r="Z37" i="16"/>
  <c r="AA37" i="16"/>
  <c r="AK9" i="16"/>
  <c r="AK14" i="16"/>
  <c r="AA29" i="16"/>
  <c r="Z36" i="16"/>
  <c r="AK8" i="16"/>
  <c r="Z34" i="16"/>
  <c r="AK15" i="16"/>
  <c r="AZ106" i="9"/>
  <c r="AA28" i="16"/>
  <c r="AK12" i="16"/>
  <c r="AK13" i="16"/>
  <c r="AK6" i="16"/>
  <c r="AA34" i="16"/>
  <c r="Z28" i="16"/>
  <c r="AA35" i="16"/>
  <c r="Z29" i="16"/>
  <c r="AA36" i="16"/>
  <c r="M66" i="16"/>
  <c r="Q32" i="16"/>
  <c r="AV139" i="9"/>
  <c r="M11" i="16"/>
  <c r="AV20" i="10"/>
  <c r="AV141" i="9"/>
  <c r="AV136" i="9"/>
  <c r="AV140" i="9"/>
  <c r="AV138" i="9"/>
  <c r="AV135" i="9"/>
  <c r="AV94" i="9"/>
  <c r="AV169" i="9"/>
  <c r="AU156" i="9"/>
  <c r="BI12" i="6"/>
  <c r="BI13" i="6"/>
  <c r="AU48" i="6"/>
  <c r="AV175" i="9" l="1"/>
  <c r="AZ176" i="9" s="1"/>
  <c r="AZ170" i="9"/>
  <c r="AW96" i="9"/>
  <c r="AZ95" i="9"/>
  <c r="Q73" i="16"/>
  <c r="Q72" i="16"/>
  <c r="Q74" i="16"/>
  <c r="Q71" i="16"/>
  <c r="Q33" i="16"/>
  <c r="Q76" i="16" s="1"/>
  <c r="Q75" i="16"/>
  <c r="BI14" i="6"/>
  <c r="AU86" i="9"/>
  <c r="AQ38" i="9"/>
  <c r="AU20" i="6"/>
  <c r="AU19" i="6"/>
  <c r="AU24" i="9"/>
  <c r="AU1" i="10"/>
  <c r="AU1" i="6" s="1"/>
  <c r="AU45" i="6" s="1"/>
  <c r="AU9" i="10"/>
  <c r="AU18" i="10"/>
  <c r="AU19" i="10"/>
  <c r="AU29" i="10"/>
  <c r="AU28" i="9"/>
  <c r="AU38" i="9"/>
  <c r="AU54" i="9"/>
  <c r="AU56" i="9"/>
  <c r="AY57" i="9" s="1"/>
  <c r="AU61" i="9"/>
  <c r="AY62" i="9" s="1"/>
  <c r="AU69" i="9"/>
  <c r="AU75" i="9"/>
  <c r="AU84" i="9"/>
  <c r="AU88" i="9"/>
  <c r="AU92" i="9"/>
  <c r="AU93" i="9"/>
  <c r="AU117" i="9"/>
  <c r="AU118" i="9"/>
  <c r="AU125" i="9"/>
  <c r="AU126" i="9"/>
  <c r="AU127" i="9"/>
  <c r="AU128" i="9"/>
  <c r="AU129" i="9"/>
  <c r="AU130" i="9"/>
  <c r="AU131" i="9"/>
  <c r="AU144" i="9"/>
  <c r="AU145" i="9"/>
  <c r="AU147" i="9"/>
  <c r="AU148" i="9"/>
  <c r="AU152" i="9"/>
  <c r="AU173" i="9"/>
  <c r="AU183" i="9"/>
  <c r="AU184" i="9"/>
  <c r="AU187" i="9"/>
  <c r="AY188" i="9" s="1"/>
  <c r="AU10" i="6"/>
  <c r="AV54" i="6" s="1"/>
  <c r="AU27" i="6"/>
  <c r="AU42" i="6"/>
  <c r="AU47" i="6"/>
  <c r="AU49" i="6"/>
  <c r="AU51" i="6"/>
  <c r="AU55" i="6"/>
  <c r="AU56" i="6"/>
  <c r="AU58" i="6"/>
  <c r="AU59" i="6"/>
  <c r="AU85" i="6"/>
  <c r="AU90" i="6"/>
  <c r="AU91" i="6"/>
  <c r="AU94" i="6"/>
  <c r="AU95" i="6"/>
  <c r="AQ75" i="9"/>
  <c r="AV26" i="10" l="1"/>
  <c r="AY25" i="10"/>
  <c r="AY84" i="6"/>
  <c r="AY43" i="6"/>
  <c r="AU30" i="10"/>
  <c r="AY31" i="10"/>
  <c r="AU49" i="9"/>
  <c r="AY132" i="9"/>
  <c r="L10" i="16"/>
  <c r="AY103" i="9"/>
  <c r="AU10" i="9"/>
  <c r="AA8" i="16"/>
  <c r="AB30" i="16" s="1"/>
  <c r="AU29" i="9"/>
  <c r="AV104" i="9"/>
  <c r="AU158" i="9"/>
  <c r="AU154" i="9"/>
  <c r="AU61" i="6"/>
  <c r="AQ10" i="9"/>
  <c r="AU62" i="6"/>
  <c r="AU24" i="10"/>
  <c r="AU33" i="10"/>
  <c r="AU34" i="10" s="1"/>
  <c r="AU30" i="9"/>
  <c r="BF13" i="6"/>
  <c r="BG13" i="6"/>
  <c r="BH13" i="6"/>
  <c r="BE13" i="6"/>
  <c r="BF12" i="6"/>
  <c r="BG12" i="6"/>
  <c r="BH12" i="6"/>
  <c r="BE12" i="6"/>
  <c r="AM53" i="9"/>
  <c r="AN53" i="9"/>
  <c r="L66" i="16" l="1"/>
  <c r="AI10" i="16"/>
  <c r="AK10" i="16" s="1"/>
  <c r="AA10" i="16"/>
  <c r="AB32" i="16" s="1"/>
  <c r="AY106" i="9"/>
  <c r="P32" i="16"/>
  <c r="AU139" i="9"/>
  <c r="AU138" i="9"/>
  <c r="L11" i="16"/>
  <c r="AI11" i="16" s="1"/>
  <c r="AK11" i="16" s="1"/>
  <c r="AU136" i="9"/>
  <c r="AU169" i="9"/>
  <c r="AU135" i="9"/>
  <c r="AU94" i="9"/>
  <c r="L30" i="16"/>
  <c r="AU141" i="9"/>
  <c r="AU20" i="10"/>
  <c r="AU140" i="9"/>
  <c r="AU31" i="9"/>
  <c r="BH14" i="6"/>
  <c r="BE14" i="6"/>
  <c r="BG14" i="6"/>
  <c r="BF14" i="6"/>
  <c r="AT84" i="9"/>
  <c r="AS56" i="9"/>
  <c r="AW57" i="9" s="1"/>
  <c r="AT56" i="9"/>
  <c r="AX57" i="9" s="1"/>
  <c r="AT24" i="9"/>
  <c r="AS21" i="9"/>
  <c r="AR21" i="9"/>
  <c r="AQ21" i="9"/>
  <c r="AP21" i="9"/>
  <c r="AO21" i="9"/>
  <c r="AN21" i="9"/>
  <c r="AM21" i="9"/>
  <c r="AT10" i="6"/>
  <c r="AT19" i="6"/>
  <c r="AT20" i="6"/>
  <c r="AT27" i="6"/>
  <c r="AT42" i="6"/>
  <c r="AT47" i="6"/>
  <c r="AT48" i="6"/>
  <c r="AT49" i="6"/>
  <c r="AT51" i="6"/>
  <c r="AT55" i="6"/>
  <c r="AT56" i="6"/>
  <c r="AT58" i="6"/>
  <c r="AT59" i="6"/>
  <c r="AT85" i="6"/>
  <c r="AT90" i="6"/>
  <c r="AT91" i="6"/>
  <c r="AT94" i="6"/>
  <c r="AT95" i="6"/>
  <c r="AT1" i="10"/>
  <c r="AT1" i="6" s="1"/>
  <c r="AT45" i="6" s="1"/>
  <c r="AT9" i="10"/>
  <c r="AX25" i="10" s="1"/>
  <c r="AT18" i="10"/>
  <c r="AT19" i="10"/>
  <c r="AT29" i="10"/>
  <c r="AT28" i="9"/>
  <c r="AT38" i="9"/>
  <c r="AT54" i="9"/>
  <c r="AT61" i="9"/>
  <c r="AT75" i="9"/>
  <c r="AT88" i="9"/>
  <c r="AT92" i="9"/>
  <c r="AT93" i="9"/>
  <c r="AT117" i="9"/>
  <c r="AT118" i="9"/>
  <c r="AT125" i="9"/>
  <c r="AT127" i="9"/>
  <c r="AT128" i="9"/>
  <c r="AT129" i="9"/>
  <c r="AT130" i="9"/>
  <c r="AT131" i="9"/>
  <c r="AT144" i="9"/>
  <c r="AT145" i="9"/>
  <c r="AT147" i="9"/>
  <c r="AT148" i="9"/>
  <c r="AT156" i="9"/>
  <c r="AT159" i="9"/>
  <c r="AT173" i="9"/>
  <c r="AT183" i="9"/>
  <c r="AT184" i="9"/>
  <c r="AT187" i="9"/>
  <c r="AX188" i="9" s="1"/>
  <c r="AS14" i="9"/>
  <c r="D9" i="16" l="1"/>
  <c r="D65" i="16" s="1"/>
  <c r="E9" i="16"/>
  <c r="E65" i="16" s="1"/>
  <c r="F9" i="16"/>
  <c r="F65" i="16" s="1"/>
  <c r="G9" i="16"/>
  <c r="G65" i="16" s="1"/>
  <c r="H9" i="16"/>
  <c r="H65" i="16" s="1"/>
  <c r="I9" i="16"/>
  <c r="I65" i="16" s="1"/>
  <c r="J9" i="16"/>
  <c r="J65" i="16" s="1"/>
  <c r="AA11" i="16"/>
  <c r="AB33" i="16" s="1"/>
  <c r="P33" i="16"/>
  <c r="P76" i="16" s="1"/>
  <c r="P71" i="16"/>
  <c r="P72" i="16"/>
  <c r="P74" i="16"/>
  <c r="P73" i="16"/>
  <c r="P75" i="16"/>
  <c r="AU175" i="9"/>
  <c r="AY176" i="9" s="1"/>
  <c r="AY170" i="9"/>
  <c r="AV96" i="9"/>
  <c r="AY95" i="9"/>
  <c r="AX132" i="9"/>
  <c r="AT49" i="9"/>
  <c r="AX43" i="6"/>
  <c r="AX84" i="6"/>
  <c r="AX103" i="9"/>
  <c r="K10" i="16"/>
  <c r="K66" i="16" s="1"/>
  <c r="AT30" i="10"/>
  <c r="AX31" i="10"/>
  <c r="AT10" i="9"/>
  <c r="AT29" i="9"/>
  <c r="AT86" i="9"/>
  <c r="AM24" i="9"/>
  <c r="AN24" i="9"/>
  <c r="AO24" i="9"/>
  <c r="AU14" i="9"/>
  <c r="AU104" i="9"/>
  <c r="AU54" i="6"/>
  <c r="AU87" i="6"/>
  <c r="AT24" i="10"/>
  <c r="AU26" i="10"/>
  <c r="AQ24" i="9"/>
  <c r="AT154" i="9"/>
  <c r="AT69" i="9"/>
  <c r="AT158" i="9"/>
  <c r="AP24" i="9"/>
  <c r="AR24" i="9"/>
  <c r="AS24" i="9"/>
  <c r="AT61" i="6"/>
  <c r="AT30" i="9"/>
  <c r="AT62" i="6"/>
  <c r="AT33" i="10"/>
  <c r="AT34" i="10" s="1"/>
  <c r="AS51" i="6"/>
  <c r="AR92" i="9"/>
  <c r="AS92" i="9"/>
  <c r="AR93" i="9"/>
  <c r="AS93" i="9"/>
  <c r="K31" i="16" l="1"/>
  <c r="J31" i="16"/>
  <c r="I31" i="16"/>
  <c r="Y9" i="16"/>
  <c r="H31" i="16"/>
  <c r="Z9" i="16"/>
  <c r="AA31" i="16" s="1"/>
  <c r="AT140" i="9"/>
  <c r="AX106" i="9"/>
  <c r="L31" i="16"/>
  <c r="O32" i="16"/>
  <c r="O30" i="16"/>
  <c r="AT94" i="9"/>
  <c r="AU96" i="9" s="1"/>
  <c r="AT135" i="9"/>
  <c r="N31" i="16"/>
  <c r="AT141" i="9"/>
  <c r="AT138" i="9"/>
  <c r="K11" i="16"/>
  <c r="M31" i="16"/>
  <c r="AT169" i="9"/>
  <c r="AT20" i="10"/>
  <c r="AT136" i="9"/>
  <c r="AT139" i="9"/>
  <c r="AT31" i="9"/>
  <c r="AS144" i="9"/>
  <c r="AS127" i="9"/>
  <c r="AS27" i="6"/>
  <c r="AS19" i="6"/>
  <c r="AS20" i="6"/>
  <c r="AS10" i="6"/>
  <c r="AS95" i="6"/>
  <c r="AS94" i="6"/>
  <c r="AS91" i="6"/>
  <c r="AS90" i="6"/>
  <c r="AS85" i="6"/>
  <c r="AS59" i="6"/>
  <c r="AS58" i="6"/>
  <c r="AS56" i="6"/>
  <c r="AS55" i="6"/>
  <c r="AS49" i="6"/>
  <c r="AS48" i="6"/>
  <c r="AS47" i="6"/>
  <c r="AS42" i="6"/>
  <c r="AS29" i="10"/>
  <c r="AW31" i="10" s="1"/>
  <c r="AS19" i="10"/>
  <c r="AS18" i="10"/>
  <c r="AS9" i="10"/>
  <c r="AS1" i="10"/>
  <c r="AS1" i="6" s="1"/>
  <c r="AS45" i="6" s="1"/>
  <c r="AS187" i="9"/>
  <c r="AW188" i="9" s="1"/>
  <c r="AS184" i="9"/>
  <c r="AS183" i="9"/>
  <c r="AS173" i="9"/>
  <c r="AS156" i="9"/>
  <c r="AS148" i="9"/>
  <c r="AS147" i="9"/>
  <c r="AS145" i="9"/>
  <c r="AS131" i="9"/>
  <c r="AS130" i="9"/>
  <c r="AS129" i="9"/>
  <c r="AS128" i="9"/>
  <c r="AS125" i="9"/>
  <c r="AS118" i="9"/>
  <c r="AS117" i="9"/>
  <c r="AS88" i="9"/>
  <c r="AS84" i="9"/>
  <c r="AS75" i="9"/>
  <c r="AS61" i="9"/>
  <c r="AS54" i="9"/>
  <c r="AS38" i="9"/>
  <c r="AS28" i="9"/>
  <c r="D1" i="10"/>
  <c r="D1" i="6" s="1"/>
  <c r="E1" i="10"/>
  <c r="E1" i="6" s="1"/>
  <c r="F1" i="10"/>
  <c r="F1" i="6" s="1"/>
  <c r="G1" i="10"/>
  <c r="G1" i="6" s="1"/>
  <c r="H1" i="10"/>
  <c r="H1" i="6" s="1"/>
  <c r="I1" i="10"/>
  <c r="I1" i="6" s="1"/>
  <c r="J1" i="10"/>
  <c r="J1" i="6" s="1"/>
  <c r="K1" i="10"/>
  <c r="K1" i="6" s="1"/>
  <c r="L1" i="10"/>
  <c r="L1" i="6" s="1"/>
  <c r="M1" i="10"/>
  <c r="M1" i="6" s="1"/>
  <c r="N1" i="10"/>
  <c r="N1" i="6" s="1"/>
  <c r="O1" i="10"/>
  <c r="O1" i="6" s="1"/>
  <c r="P1" i="10"/>
  <c r="P1" i="6" s="1"/>
  <c r="Q1" i="10"/>
  <c r="Q1" i="6" s="1"/>
  <c r="R1" i="10"/>
  <c r="R1" i="6" s="1"/>
  <c r="S1" i="10"/>
  <c r="S1" i="6" s="1"/>
  <c r="T1" i="10"/>
  <c r="T1" i="6" s="1"/>
  <c r="U1" i="10"/>
  <c r="U1" i="6" s="1"/>
  <c r="V1" i="10"/>
  <c r="V1" i="6" s="1"/>
  <c r="W1" i="10"/>
  <c r="W1" i="6" s="1"/>
  <c r="X1" i="10"/>
  <c r="X1" i="6" s="1"/>
  <c r="Y1" i="10"/>
  <c r="Y1" i="6" s="1"/>
  <c r="Z1" i="10"/>
  <c r="Z1" i="6" s="1"/>
  <c r="AA1" i="10"/>
  <c r="AA1" i="6" s="1"/>
  <c r="AB1" i="10"/>
  <c r="AB1" i="6" s="1"/>
  <c r="AC1" i="10"/>
  <c r="AC1" i="6" s="1"/>
  <c r="AD1" i="10"/>
  <c r="AD1" i="6" s="1"/>
  <c r="AE1" i="10"/>
  <c r="AE1" i="6" s="1"/>
  <c r="AF1" i="10"/>
  <c r="AF1" i="6" s="1"/>
  <c r="AG1" i="10"/>
  <c r="AG1" i="6" s="1"/>
  <c r="AH1" i="10"/>
  <c r="AH1" i="6" s="1"/>
  <c r="AI1" i="10"/>
  <c r="AI1" i="6" s="1"/>
  <c r="AJ1" i="10"/>
  <c r="AJ1" i="6" s="1"/>
  <c r="AK1" i="10"/>
  <c r="AK1" i="6" s="1"/>
  <c r="AL1" i="10"/>
  <c r="AL1" i="6" s="1"/>
  <c r="AM1" i="10"/>
  <c r="AM1" i="6" s="1"/>
  <c r="AN1" i="10"/>
  <c r="AN1" i="6" s="1"/>
  <c r="AO1" i="10"/>
  <c r="AO1" i="6" s="1"/>
  <c r="AP1" i="10"/>
  <c r="AP1" i="6" s="1"/>
  <c r="AQ1" i="10"/>
  <c r="AQ1" i="6" s="1"/>
  <c r="AR1" i="10"/>
  <c r="AR1" i="6" s="1"/>
  <c r="C2" i="10"/>
  <c r="C2" i="6" s="1"/>
  <c r="C1" i="10"/>
  <c r="C1" i="6" s="1"/>
  <c r="H38" i="9"/>
  <c r="I38" i="9"/>
  <c r="J38" i="9"/>
  <c r="K38" i="9"/>
  <c r="L38" i="9"/>
  <c r="M38" i="9"/>
  <c r="N38" i="9"/>
  <c r="O38" i="9"/>
  <c r="P38" i="9"/>
  <c r="Q38" i="9"/>
  <c r="R38" i="9"/>
  <c r="S38" i="9"/>
  <c r="T38" i="9"/>
  <c r="U38" i="9"/>
  <c r="V38" i="9"/>
  <c r="W38" i="9"/>
  <c r="X38" i="9"/>
  <c r="Y38" i="9"/>
  <c r="Z38" i="9"/>
  <c r="AA38" i="9"/>
  <c r="AB38" i="9"/>
  <c r="AC38" i="9"/>
  <c r="AD38" i="9"/>
  <c r="AE38" i="9"/>
  <c r="AF38" i="9"/>
  <c r="AG38" i="9"/>
  <c r="AH38" i="9"/>
  <c r="AI38" i="9"/>
  <c r="AJ38" i="9"/>
  <c r="AK38" i="9"/>
  <c r="G38" i="9"/>
  <c r="AL38" i="9"/>
  <c r="D31" i="9"/>
  <c r="E31" i="9"/>
  <c r="F31" i="9"/>
  <c r="G31" i="9"/>
  <c r="H31" i="9"/>
  <c r="I31" i="9"/>
  <c r="J31" i="9"/>
  <c r="K31" i="9"/>
  <c r="L31" i="9"/>
  <c r="M31" i="9"/>
  <c r="N31" i="9"/>
  <c r="O31" i="9"/>
  <c r="P31" i="9"/>
  <c r="Q31" i="9"/>
  <c r="R31" i="9"/>
  <c r="S31" i="9"/>
  <c r="T31" i="9"/>
  <c r="U31" i="9"/>
  <c r="V31" i="9"/>
  <c r="W31" i="9"/>
  <c r="X31" i="9"/>
  <c r="Y31" i="9"/>
  <c r="Z31" i="9"/>
  <c r="AA31" i="9"/>
  <c r="AB31" i="9"/>
  <c r="AC31" i="9"/>
  <c r="AD31" i="9"/>
  <c r="AE31" i="9"/>
  <c r="AF31" i="9"/>
  <c r="AG31" i="9"/>
  <c r="AH31" i="9"/>
  <c r="AI31" i="9"/>
  <c r="AJ31" i="9"/>
  <c r="AK31" i="9"/>
  <c r="AL31" i="9"/>
  <c r="C31" i="9"/>
  <c r="AP27" i="6"/>
  <c r="AQ27" i="6"/>
  <c r="AR27" i="6"/>
  <c r="AR48" i="6"/>
  <c r="AR58" i="6"/>
  <c r="AR38" i="9"/>
  <c r="AR85" i="6"/>
  <c r="AR90" i="6"/>
  <c r="AR91" i="6"/>
  <c r="Z31" i="16" l="1"/>
  <c r="O73" i="16"/>
  <c r="AW103" i="9"/>
  <c r="J10" i="16"/>
  <c r="J66" i="16" s="1"/>
  <c r="AW132" i="9"/>
  <c r="AS49" i="9"/>
  <c r="O75" i="16"/>
  <c r="Z8" i="16"/>
  <c r="Z30" i="16" s="1"/>
  <c r="O33" i="16"/>
  <c r="O76" i="16" s="1"/>
  <c r="O72" i="16"/>
  <c r="O74" i="16"/>
  <c r="O71" i="16"/>
  <c r="AX95" i="9"/>
  <c r="AT175" i="9"/>
  <c r="AX176" i="9" s="1"/>
  <c r="AX170" i="9"/>
  <c r="AT26" i="10"/>
  <c r="AW25" i="10"/>
  <c r="AW84" i="6"/>
  <c r="AW43" i="6"/>
  <c r="AS29" i="9"/>
  <c r="M30" i="16"/>
  <c r="AS10" i="9"/>
  <c r="AS86" i="9"/>
  <c r="AT14" i="9"/>
  <c r="AT104" i="9"/>
  <c r="AR10" i="9"/>
  <c r="AE30" i="9"/>
  <c r="AC30" i="9"/>
  <c r="AB30" i="9"/>
  <c r="AD30" i="9"/>
  <c r="AG30" i="9"/>
  <c r="AH30" i="9"/>
  <c r="AF30" i="9"/>
  <c r="AT87" i="6"/>
  <c r="AT54" i="6"/>
  <c r="AK30" i="9"/>
  <c r="AJ30" i="9"/>
  <c r="AS61" i="6"/>
  <c r="AI30" i="9"/>
  <c r="AL30" i="9"/>
  <c r="AS154" i="9"/>
  <c r="AS69" i="9"/>
  <c r="AS62" i="6"/>
  <c r="AS33" i="10"/>
  <c r="AS34" i="10" s="1"/>
  <c r="AS158" i="9"/>
  <c r="AS24" i="10"/>
  <c r="AS30" i="10"/>
  <c r="AS30" i="9"/>
  <c r="AR19" i="6"/>
  <c r="AR20" i="6"/>
  <c r="AR95" i="6"/>
  <c r="AR94" i="6"/>
  <c r="AR59" i="6"/>
  <c r="AR56" i="6"/>
  <c r="AR55" i="6"/>
  <c r="AR51" i="6"/>
  <c r="AR49" i="6"/>
  <c r="AR47" i="6"/>
  <c r="AR42" i="6"/>
  <c r="AR10" i="6"/>
  <c r="AS87" i="6" s="1"/>
  <c r="AR29" i="10"/>
  <c r="AV31" i="10" s="1"/>
  <c r="AR19" i="10"/>
  <c r="AR18" i="10"/>
  <c r="AR9" i="10"/>
  <c r="AR45" i="6"/>
  <c r="AR187" i="9"/>
  <c r="AV188" i="9" s="1"/>
  <c r="AR184" i="9"/>
  <c r="AR183" i="9"/>
  <c r="AR173" i="9"/>
  <c r="AR156" i="9"/>
  <c r="AR152" i="9"/>
  <c r="AR148" i="9"/>
  <c r="AR147" i="9"/>
  <c r="AR145" i="9"/>
  <c r="AR144" i="9"/>
  <c r="AR131" i="9"/>
  <c r="AR130" i="9"/>
  <c r="AR129" i="9"/>
  <c r="AR128" i="9"/>
  <c r="AR125" i="9"/>
  <c r="AR118" i="9"/>
  <c r="AR117" i="9"/>
  <c r="AR88" i="9"/>
  <c r="AR84" i="9"/>
  <c r="AR75" i="9"/>
  <c r="AR61" i="9"/>
  <c r="AR56" i="9"/>
  <c r="AV57" i="9" s="1"/>
  <c r="AR54" i="9"/>
  <c r="AR28" i="9"/>
  <c r="AS135" i="9" l="1"/>
  <c r="I10" i="16"/>
  <c r="I66" i="16" s="1"/>
  <c r="AW106" i="9"/>
  <c r="N32" i="16"/>
  <c r="AV132" i="9"/>
  <c r="AR49" i="9"/>
  <c r="AA30" i="16"/>
  <c r="N30" i="16"/>
  <c r="AS141" i="9"/>
  <c r="AS140" i="9"/>
  <c r="AS20" i="10"/>
  <c r="AS94" i="9"/>
  <c r="AS136" i="9"/>
  <c r="J11" i="16"/>
  <c r="AS138" i="9"/>
  <c r="AS139" i="9"/>
  <c r="AS169" i="9"/>
  <c r="AS26" i="10"/>
  <c r="AV25" i="10"/>
  <c r="AV43" i="6"/>
  <c r="AV84" i="6"/>
  <c r="AV103" i="9"/>
  <c r="AR86" i="9"/>
  <c r="AR20" i="10"/>
  <c r="AR138" i="9"/>
  <c r="AH106" i="9"/>
  <c r="AR94" i="9"/>
  <c r="AR135" i="9"/>
  <c r="AR139" i="9"/>
  <c r="AR140" i="9"/>
  <c r="AR169" i="9"/>
  <c r="AR141" i="9"/>
  <c r="AG106" i="9"/>
  <c r="AF106" i="9"/>
  <c r="AJ106" i="9"/>
  <c r="AR136" i="9"/>
  <c r="AI106" i="9"/>
  <c r="AR69" i="9"/>
  <c r="AR154" i="9"/>
  <c r="AK106" i="9"/>
  <c r="AL106" i="9"/>
  <c r="AS104" i="9"/>
  <c r="AS54" i="6"/>
  <c r="AR30" i="9"/>
  <c r="AR62" i="6"/>
  <c r="AR61" i="6"/>
  <c r="AR33" i="10"/>
  <c r="AR34" i="10" s="1"/>
  <c r="AR24" i="10"/>
  <c r="AR30" i="10"/>
  <c r="AR158" i="9"/>
  <c r="M32" i="16" l="1"/>
  <c r="N75" i="16"/>
  <c r="N73" i="16"/>
  <c r="N71" i="16"/>
  <c r="N72" i="16"/>
  <c r="N33" i="16"/>
  <c r="N76" i="16" s="1"/>
  <c r="N74" i="16"/>
  <c r="AS175" i="9"/>
  <c r="AW176" i="9" s="1"/>
  <c r="AW170" i="9"/>
  <c r="AT96" i="9"/>
  <c r="AW95" i="9"/>
  <c r="I11" i="16"/>
  <c r="AV106" i="9"/>
  <c r="AR175" i="9"/>
  <c r="AV176" i="9" s="1"/>
  <c r="AV170" i="9"/>
  <c r="AS96" i="9"/>
  <c r="AV95" i="9"/>
  <c r="AQ42" i="6"/>
  <c r="M72" i="16" l="1"/>
  <c r="M73" i="16"/>
  <c r="M74" i="16"/>
  <c r="M75" i="16"/>
  <c r="M33" i="16"/>
  <c r="M76" i="16" s="1"/>
  <c r="M71" i="16"/>
  <c r="AU43" i="6"/>
  <c r="AU84" i="6"/>
  <c r="AP38" i="9"/>
  <c r="AC71" i="9"/>
  <c r="AP67" i="9"/>
  <c r="AL67" i="9"/>
  <c r="AQ58" i="6" l="1"/>
  <c r="AQ55" i="6"/>
  <c r="AQ56" i="6"/>
  <c r="AQ20" i="6" l="1"/>
  <c r="AQ19" i="6"/>
  <c r="AQ47" i="6"/>
  <c r="AQ48" i="6"/>
  <c r="AQ49" i="6"/>
  <c r="AQ51" i="6"/>
  <c r="AQ59" i="6"/>
  <c r="AQ85" i="6"/>
  <c r="AQ90" i="6"/>
  <c r="AQ91" i="6"/>
  <c r="AQ94" i="6"/>
  <c r="AQ95" i="6"/>
  <c r="AQ45" i="6"/>
  <c r="AQ9" i="10"/>
  <c r="AU25" i="10" s="1"/>
  <c r="AQ18" i="10"/>
  <c r="AQ19" i="10"/>
  <c r="AQ29" i="10"/>
  <c r="AQ156" i="9"/>
  <c r="AQ61" i="9"/>
  <c r="AQ144" i="9"/>
  <c r="AQ93" i="9"/>
  <c r="AQ92" i="9"/>
  <c r="AN38" i="9"/>
  <c r="AO38" i="9"/>
  <c r="AM38" i="9"/>
  <c r="AQ85" i="9"/>
  <c r="AQ84" i="9"/>
  <c r="AN28" i="9"/>
  <c r="AO28" i="9"/>
  <c r="AP28" i="9"/>
  <c r="AQ28" i="9"/>
  <c r="AM28" i="9"/>
  <c r="AQ56" i="9"/>
  <c r="AU57" i="9" s="1"/>
  <c r="D2" i="9"/>
  <c r="AQ54" i="9"/>
  <c r="AQ152" i="9"/>
  <c r="AQ69" i="9"/>
  <c r="AQ88" i="9"/>
  <c r="AQ117" i="9"/>
  <c r="AQ118" i="9"/>
  <c r="AQ125" i="9"/>
  <c r="AQ128" i="9"/>
  <c r="AQ129" i="9"/>
  <c r="AQ130" i="9"/>
  <c r="AQ145" i="9"/>
  <c r="AQ147" i="9"/>
  <c r="AQ148" i="9"/>
  <c r="AQ173" i="9"/>
  <c r="AQ183" i="9"/>
  <c r="AQ184" i="9"/>
  <c r="AQ187" i="9"/>
  <c r="AU188" i="9" s="1"/>
  <c r="AH183" i="9"/>
  <c r="AO184" i="9"/>
  <c r="AN184" i="9"/>
  <c r="AM184" i="9"/>
  <c r="AL184" i="9"/>
  <c r="AK184" i="9"/>
  <c r="AJ184" i="9"/>
  <c r="AI184" i="9"/>
  <c r="AH184" i="9"/>
  <c r="AG184" i="9"/>
  <c r="AF184" i="9"/>
  <c r="AE184" i="9"/>
  <c r="AD184" i="9"/>
  <c r="AG183" i="9"/>
  <c r="AF183" i="9"/>
  <c r="AE183" i="9"/>
  <c r="AD183" i="9"/>
  <c r="AO183" i="9"/>
  <c r="AN183" i="9"/>
  <c r="AM183" i="9"/>
  <c r="AL183" i="9"/>
  <c r="AK183" i="9"/>
  <c r="AJ183" i="9"/>
  <c r="AI183" i="9"/>
  <c r="AT126" i="9"/>
  <c r="F10" i="16" l="1"/>
  <c r="J32" i="16" s="1"/>
  <c r="E10" i="16"/>
  <c r="I32" i="16" s="1"/>
  <c r="G10" i="16"/>
  <c r="K32" i="16" s="1"/>
  <c r="D10" i="16"/>
  <c r="H10" i="16"/>
  <c r="H66" i="16" s="1"/>
  <c r="AU132" i="9"/>
  <c r="AQ49" i="9"/>
  <c r="AU159" i="9"/>
  <c r="AQ86" i="9"/>
  <c r="AU103" i="9"/>
  <c r="AT103" i="9"/>
  <c r="AQ30" i="10"/>
  <c r="AU31" i="10"/>
  <c r="AT152" i="9"/>
  <c r="AS103" i="9"/>
  <c r="AR103" i="9"/>
  <c r="AR104" i="9"/>
  <c r="E2" i="9"/>
  <c r="D2" i="10"/>
  <c r="D2" i="6" s="1"/>
  <c r="AQ24" i="10"/>
  <c r="AR26" i="10"/>
  <c r="AQ154" i="9"/>
  <c r="AQ136" i="9"/>
  <c r="AN104" i="9"/>
  <c r="AQ103" i="9"/>
  <c r="AQ104" i="9"/>
  <c r="AP104" i="9"/>
  <c r="AO104" i="9"/>
  <c r="AQ62" i="6"/>
  <c r="AQ61" i="6"/>
  <c r="AQ20" i="10"/>
  <c r="AQ33" i="10"/>
  <c r="AQ34" i="10" s="1"/>
  <c r="AO30" i="9"/>
  <c r="AM30" i="9"/>
  <c r="AP30" i="9"/>
  <c r="AN30" i="9"/>
  <c r="AQ30" i="9"/>
  <c r="AQ158" i="9"/>
  <c r="AQ169" i="9"/>
  <c r="AU170" i="9" s="1"/>
  <c r="AQ94" i="9"/>
  <c r="AQ135" i="9"/>
  <c r="AQ141" i="9"/>
  <c r="AQ140" i="9"/>
  <c r="AQ138" i="9"/>
  <c r="AQ139" i="9"/>
  <c r="AP69" i="9"/>
  <c r="AP184" i="9"/>
  <c r="AP183" i="9"/>
  <c r="Z10" i="16" l="1"/>
  <c r="AA32" i="16" s="1"/>
  <c r="G66" i="16"/>
  <c r="F66" i="16"/>
  <c r="Y10" i="16"/>
  <c r="E66" i="16"/>
  <c r="F11" i="16"/>
  <c r="J33" i="16" s="1"/>
  <c r="E11" i="16"/>
  <c r="I33" i="16" s="1"/>
  <c r="H32" i="16"/>
  <c r="G11" i="16"/>
  <c r="K33" i="16" s="1"/>
  <c r="D66" i="16"/>
  <c r="D11" i="16"/>
  <c r="L32" i="16"/>
  <c r="H11" i="16"/>
  <c r="AU106" i="9"/>
  <c r="AR96" i="9"/>
  <c r="AU95" i="9"/>
  <c r="AT106" i="9"/>
  <c r="AN106" i="9"/>
  <c r="AR106" i="9"/>
  <c r="AO106" i="9"/>
  <c r="AS106" i="9"/>
  <c r="AP106" i="9"/>
  <c r="AQ106" i="9"/>
  <c r="AM106" i="9"/>
  <c r="F2" i="9"/>
  <c r="E2" i="10"/>
  <c r="E2" i="6" s="1"/>
  <c r="AQ175" i="9"/>
  <c r="AU176" i="9" s="1"/>
  <c r="AP75" i="9"/>
  <c r="AP95" i="6"/>
  <c r="AP94" i="6"/>
  <c r="AP91" i="6"/>
  <c r="AP90" i="6"/>
  <c r="AP85" i="6"/>
  <c r="AP62" i="6"/>
  <c r="AP61" i="6"/>
  <c r="AP59" i="6"/>
  <c r="AP58" i="6"/>
  <c r="AP56" i="6"/>
  <c r="AP55" i="6"/>
  <c r="AP53" i="6"/>
  <c r="AP51" i="6"/>
  <c r="AP49" i="6"/>
  <c r="AP48" i="6"/>
  <c r="AP47" i="6"/>
  <c r="AP42" i="6"/>
  <c r="AP29" i="10"/>
  <c r="AP20" i="10"/>
  <c r="AP19" i="10"/>
  <c r="AP18" i="10"/>
  <c r="AP9" i="10"/>
  <c r="AT25" i="10" s="1"/>
  <c r="AP45" i="6"/>
  <c r="AP187" i="9"/>
  <c r="AT188" i="9" s="1"/>
  <c r="AP173" i="9"/>
  <c r="AP169" i="9"/>
  <c r="AP156" i="9"/>
  <c r="AP148" i="9"/>
  <c r="AP147" i="9"/>
  <c r="AP145" i="9"/>
  <c r="AP144" i="9"/>
  <c r="AP141" i="9"/>
  <c r="AP140" i="9"/>
  <c r="AP139" i="9"/>
  <c r="AP138" i="9"/>
  <c r="AP136" i="9"/>
  <c r="AP135" i="9"/>
  <c r="AP131" i="9"/>
  <c r="AP130" i="9"/>
  <c r="AP129" i="9"/>
  <c r="AP128" i="9"/>
  <c r="AP125" i="9"/>
  <c r="AP118" i="9"/>
  <c r="AP117" i="9"/>
  <c r="AP94" i="9"/>
  <c r="AP88" i="9"/>
  <c r="AP84" i="9"/>
  <c r="AP61" i="9"/>
  <c r="AP56" i="9"/>
  <c r="AT57" i="9" s="1"/>
  <c r="AP54" i="9"/>
  <c r="AO145" i="9"/>
  <c r="Z32" i="16" l="1"/>
  <c r="Y11" i="16"/>
  <c r="Z11" i="16"/>
  <c r="H33" i="16"/>
  <c r="L72" i="16"/>
  <c r="L33" i="16"/>
  <c r="L76" i="16" s="1"/>
  <c r="L75" i="16"/>
  <c r="L74" i="16"/>
  <c r="L73" i="16"/>
  <c r="L71" i="16"/>
  <c r="AP86" i="9"/>
  <c r="AT43" i="6"/>
  <c r="AT84" i="6"/>
  <c r="AP52" i="9"/>
  <c r="AT132" i="9"/>
  <c r="AP175" i="9"/>
  <c r="AT176" i="9" s="1"/>
  <c r="AT170" i="9"/>
  <c r="AQ96" i="9"/>
  <c r="AT95" i="9"/>
  <c r="AP30" i="10"/>
  <c r="AT31" i="10"/>
  <c r="G2" i="9"/>
  <c r="F2" i="10"/>
  <c r="F2" i="6" s="1"/>
  <c r="AP25" i="10"/>
  <c r="AQ26" i="10"/>
  <c r="AP154" i="9"/>
  <c r="AP33" i="10"/>
  <c r="AP34" i="10" s="1"/>
  <c r="AP24" i="10"/>
  <c r="AP158" i="9"/>
  <c r="AO95" i="6"/>
  <c r="AO94" i="6"/>
  <c r="AO91" i="6"/>
  <c r="AO90" i="6"/>
  <c r="AO85" i="6"/>
  <c r="AO62" i="6"/>
  <c r="AO61" i="6"/>
  <c r="AO59" i="6"/>
  <c r="AO58" i="6"/>
  <c r="AO56" i="6"/>
  <c r="AO55" i="6"/>
  <c r="AO53" i="6"/>
  <c r="AO51" i="6"/>
  <c r="AO49" i="6"/>
  <c r="AO48" i="6"/>
  <c r="AO47" i="6"/>
  <c r="AO42" i="6"/>
  <c r="AO9" i="10"/>
  <c r="AS25" i="10" s="1"/>
  <c r="AN9" i="10"/>
  <c r="AM9" i="10"/>
  <c r="AQ25" i="10" s="1"/>
  <c r="AK9" i="10"/>
  <c r="AO29" i="10"/>
  <c r="AO20" i="10"/>
  <c r="AO19" i="10"/>
  <c r="AO18" i="10"/>
  <c r="AO45" i="6"/>
  <c r="AO85" i="9"/>
  <c r="AO187" i="9"/>
  <c r="AO173" i="9"/>
  <c r="AO169" i="9"/>
  <c r="AO156" i="9"/>
  <c r="AO148" i="9"/>
  <c r="AO147" i="9"/>
  <c r="AO144" i="9"/>
  <c r="AO141" i="9"/>
  <c r="AO140" i="9"/>
  <c r="AO139" i="9"/>
  <c r="AO138" i="9"/>
  <c r="AO135" i="9"/>
  <c r="AO131" i="9"/>
  <c r="AO130" i="9"/>
  <c r="AO129" i="9"/>
  <c r="AO128" i="9"/>
  <c r="AO125" i="9"/>
  <c r="AO118" i="9"/>
  <c r="AO117" i="9"/>
  <c r="AO94" i="9"/>
  <c r="AI88" i="9"/>
  <c r="AJ88" i="9"/>
  <c r="AK88" i="9"/>
  <c r="AL88" i="9"/>
  <c r="AM88" i="9"/>
  <c r="AN88" i="9"/>
  <c r="AO88" i="9"/>
  <c r="AO54" i="9"/>
  <c r="AO61" i="9"/>
  <c r="AO84" i="9"/>
  <c r="AO75" i="9"/>
  <c r="AO67" i="9"/>
  <c r="AO56" i="9"/>
  <c r="AS57" i="9" s="1"/>
  <c r="AN67" i="9"/>
  <c r="AM67" i="9"/>
  <c r="AN84" i="9"/>
  <c r="AN85" i="9"/>
  <c r="AN95" i="6"/>
  <c r="AN94" i="6"/>
  <c r="AN91" i="6"/>
  <c r="AN90" i="6"/>
  <c r="AN85" i="6"/>
  <c r="AN62" i="6"/>
  <c r="AN61" i="6"/>
  <c r="AN59" i="6"/>
  <c r="AN58" i="6"/>
  <c r="AN56" i="6"/>
  <c r="AN55" i="6"/>
  <c r="AN53" i="6"/>
  <c r="AN51" i="6"/>
  <c r="AN49" i="6"/>
  <c r="AN48" i="6"/>
  <c r="AN47" i="6"/>
  <c r="AN42" i="6"/>
  <c r="AN18" i="10"/>
  <c r="AN19" i="10"/>
  <c r="AN20" i="10"/>
  <c r="AN29" i="10"/>
  <c r="AR31" i="10" s="1"/>
  <c r="AN45" i="6"/>
  <c r="AN187" i="9"/>
  <c r="AN173" i="9"/>
  <c r="AN169" i="9"/>
  <c r="AN156" i="9"/>
  <c r="AN148" i="9"/>
  <c r="AN147" i="9"/>
  <c r="AN145" i="9"/>
  <c r="AN144" i="9"/>
  <c r="AN141" i="9"/>
  <c r="AN140" i="9"/>
  <c r="AN139" i="9"/>
  <c r="AN138" i="9"/>
  <c r="AN135" i="9"/>
  <c r="AN131" i="9"/>
  <c r="AN130" i="9"/>
  <c r="AN129" i="9"/>
  <c r="AN128" i="9"/>
  <c r="AN125" i="9"/>
  <c r="AN118" i="9"/>
  <c r="AN117" i="9"/>
  <c r="AN94" i="9"/>
  <c r="AR95" i="9" s="1"/>
  <c r="AN75" i="9"/>
  <c r="AN61" i="9"/>
  <c r="AN56" i="9"/>
  <c r="AR57" i="9" s="1"/>
  <c r="AN54" i="9"/>
  <c r="Z33" i="16" l="1"/>
  <c r="AA33" i="16"/>
  <c r="AP142" i="9"/>
  <c r="AS132" i="9"/>
  <c r="AR132" i="9"/>
  <c r="AR126" i="9"/>
  <c r="AR159" i="9"/>
  <c r="AS159" i="9"/>
  <c r="AS126" i="9"/>
  <c r="AS152" i="9"/>
  <c r="AO188" i="9"/>
  <c r="AS188" i="9"/>
  <c r="AS43" i="6"/>
  <c r="AS84" i="6"/>
  <c r="AO30" i="10"/>
  <c r="AS31" i="10"/>
  <c r="AO175" i="9"/>
  <c r="AS176" i="9" s="1"/>
  <c r="AS170" i="9"/>
  <c r="AP96" i="9"/>
  <c r="AS95" i="9"/>
  <c r="H2" i="9"/>
  <c r="G2" i="10"/>
  <c r="G2" i="6" s="1"/>
  <c r="AR43" i="6"/>
  <c r="AR84" i="6"/>
  <c r="AN188" i="9"/>
  <c r="AR188" i="9"/>
  <c r="AN24" i="10"/>
  <c r="AR25" i="10"/>
  <c r="AN175" i="9"/>
  <c r="AR176" i="9" s="1"/>
  <c r="AR170" i="9"/>
  <c r="AN136" i="9"/>
  <c r="AN159" i="9"/>
  <c r="AO69" i="9"/>
  <c r="AO158" i="9"/>
  <c r="AO159" i="9"/>
  <c r="AO154" i="9"/>
  <c r="AN69" i="9"/>
  <c r="AN154" i="9"/>
  <c r="AO52" i="9"/>
  <c r="AO24" i="10"/>
  <c r="AP26" i="10"/>
  <c r="AO96" i="9"/>
  <c r="AO136" i="9"/>
  <c r="AO25" i="10"/>
  <c r="AO26" i="10"/>
  <c r="AN26" i="10"/>
  <c r="AO33" i="10"/>
  <c r="AO34" i="10" s="1"/>
  <c r="AN30" i="10"/>
  <c r="AN33" i="10"/>
  <c r="AN34" i="10" s="1"/>
  <c r="AN52" i="9"/>
  <c r="AN158" i="9"/>
  <c r="I2" i="9" l="1"/>
  <c r="H2" i="10"/>
  <c r="H2" i="6" s="1"/>
  <c r="AN142" i="9"/>
  <c r="AO142" i="9"/>
  <c r="AM85" i="9"/>
  <c r="AM75" i="9"/>
  <c r="AM95" i="6"/>
  <c r="AM94" i="6"/>
  <c r="AM91" i="6"/>
  <c r="AM90" i="6"/>
  <c r="AM85" i="6"/>
  <c r="AM62" i="6"/>
  <c r="AM61" i="6"/>
  <c r="AM59" i="6"/>
  <c r="AM58" i="6"/>
  <c r="AM56" i="6"/>
  <c r="AM55" i="6"/>
  <c r="AM53" i="6"/>
  <c r="AM51" i="6"/>
  <c r="AM49" i="6"/>
  <c r="AM48" i="6"/>
  <c r="AM47" i="6"/>
  <c r="AM42" i="6"/>
  <c r="AM45" i="6"/>
  <c r="AM29" i="10"/>
  <c r="AM26" i="10"/>
  <c r="AM24" i="10"/>
  <c r="AM20" i="10"/>
  <c r="AM19" i="10"/>
  <c r="AM18" i="10"/>
  <c r="AM187" i="9"/>
  <c r="AM173" i="9"/>
  <c r="AM169" i="9"/>
  <c r="AM156" i="9"/>
  <c r="AM148" i="9"/>
  <c r="AM147" i="9"/>
  <c r="AM145" i="9"/>
  <c r="AM144" i="9"/>
  <c r="AM141" i="9"/>
  <c r="AM140" i="9"/>
  <c r="AM139" i="9"/>
  <c r="AM138" i="9"/>
  <c r="AM135" i="9"/>
  <c r="AM131" i="9"/>
  <c r="AM130" i="9"/>
  <c r="AM129" i="9"/>
  <c r="AM128" i="9"/>
  <c r="AM125" i="9"/>
  <c r="AM118" i="9"/>
  <c r="AM117" i="9"/>
  <c r="AM94" i="9"/>
  <c r="AM84" i="9"/>
  <c r="AM61" i="9"/>
  <c r="AM56" i="9"/>
  <c r="AQ57" i="9" s="1"/>
  <c r="AM54" i="9"/>
  <c r="AL85" i="9"/>
  <c r="AQ132" i="9" l="1"/>
  <c r="J2" i="9"/>
  <c r="I2" i="10"/>
  <c r="I2" i="6" s="1"/>
  <c r="AQ159" i="9"/>
  <c r="AQ126" i="9"/>
  <c r="AM154" i="9"/>
  <c r="AM30" i="10"/>
  <c r="AQ31" i="10"/>
  <c r="AQ84" i="6"/>
  <c r="AQ43" i="6"/>
  <c r="AM188" i="9"/>
  <c r="AQ188" i="9"/>
  <c r="AN96" i="9"/>
  <c r="AQ95" i="9"/>
  <c r="AM175" i="9"/>
  <c r="AQ176" i="9" s="1"/>
  <c r="AQ170" i="9"/>
  <c r="AP159" i="9"/>
  <c r="AM69" i="9"/>
  <c r="AM126" i="9"/>
  <c r="AM159" i="9"/>
  <c r="AM33" i="10"/>
  <c r="AM34" i="10" s="1"/>
  <c r="AM136" i="9"/>
  <c r="AM52" i="9"/>
  <c r="AM158" i="9"/>
  <c r="AF67" i="9"/>
  <c r="AG67" i="9"/>
  <c r="AH67" i="9"/>
  <c r="AI67" i="9"/>
  <c r="AJ67" i="9"/>
  <c r="AK67" i="9"/>
  <c r="AH65" i="9"/>
  <c r="AL53" i="9"/>
  <c r="AL7" i="10"/>
  <c r="K2" i="9" l="1"/>
  <c r="J2" i="10"/>
  <c r="J2" i="6" s="1"/>
  <c r="AP126" i="9"/>
  <c r="AO152" i="9"/>
  <c r="AN152" i="9"/>
  <c r="AM142" i="9"/>
  <c r="AM152" i="9"/>
  <c r="AL84" i="9"/>
  <c r="AL20" i="10"/>
  <c r="AL95" i="6"/>
  <c r="AL94" i="6"/>
  <c r="AL91" i="6"/>
  <c r="AL90" i="6"/>
  <c r="AL85" i="6"/>
  <c r="AL62" i="6"/>
  <c r="AL61" i="6"/>
  <c r="AL59" i="6"/>
  <c r="AL58" i="6"/>
  <c r="AL56" i="6"/>
  <c r="AL55" i="6"/>
  <c r="AL53" i="6"/>
  <c r="AL51" i="6"/>
  <c r="AL49" i="6"/>
  <c r="AL48" i="6"/>
  <c r="AL47" i="6"/>
  <c r="AL45" i="6"/>
  <c r="AL42" i="6"/>
  <c r="AL29" i="10"/>
  <c r="AP31" i="10" s="1"/>
  <c r="AL26" i="10"/>
  <c r="AL24" i="10"/>
  <c r="AL19" i="10"/>
  <c r="AL18" i="10"/>
  <c r="AL187" i="9"/>
  <c r="AP188" i="9" s="1"/>
  <c r="AL173" i="9"/>
  <c r="AL169" i="9"/>
  <c r="AL159" i="9"/>
  <c r="AL156" i="9"/>
  <c r="AL154" i="9"/>
  <c r="AL148" i="9"/>
  <c r="AL147" i="9"/>
  <c r="AL145" i="9"/>
  <c r="AL144" i="9"/>
  <c r="AL140" i="9"/>
  <c r="AL138" i="9"/>
  <c r="AL131" i="9"/>
  <c r="AL130" i="9"/>
  <c r="AL129" i="9"/>
  <c r="AL128" i="9"/>
  <c r="AL125" i="9"/>
  <c r="AL118" i="9"/>
  <c r="AL117" i="9"/>
  <c r="AL61" i="9"/>
  <c r="AL56" i="9"/>
  <c r="AL54" i="9"/>
  <c r="AL126" i="9"/>
  <c r="L2" i="9" l="1"/>
  <c r="K2" i="10"/>
  <c r="K2" i="6" s="1"/>
  <c r="AL152" i="9"/>
  <c r="AP43" i="6"/>
  <c r="AP84" i="6"/>
  <c r="AP152" i="9"/>
  <c r="AL52" i="9"/>
  <c r="AP132" i="9"/>
  <c r="AL175" i="9"/>
  <c r="AP170" i="9"/>
  <c r="AL158" i="9"/>
  <c r="AL139" i="9"/>
  <c r="AL94" i="9"/>
  <c r="AL135" i="9"/>
  <c r="AL141" i="9"/>
  <c r="AL33" i="10"/>
  <c r="AL34" i="10" s="1"/>
  <c r="AL30" i="10"/>
  <c r="AL136" i="9"/>
  <c r="M2" i="9" l="1"/>
  <c r="L2" i="10"/>
  <c r="L2" i="6" s="1"/>
  <c r="AL142" i="9"/>
  <c r="AP176" i="9"/>
  <c r="AM96" i="9"/>
  <c r="AP95" i="9"/>
  <c r="AK18" i="10"/>
  <c r="AK19" i="10"/>
  <c r="AK20" i="10"/>
  <c r="AK24" i="10"/>
  <c r="AK29" i="10"/>
  <c r="AK53" i="9"/>
  <c r="AK54" i="9"/>
  <c r="AK56" i="9"/>
  <c r="AK61" i="9"/>
  <c r="AK84" i="9"/>
  <c r="AK94" i="9"/>
  <c r="AK117" i="9"/>
  <c r="AK118" i="9"/>
  <c r="AK128" i="9"/>
  <c r="AK129" i="9"/>
  <c r="AK130" i="9"/>
  <c r="AK138" i="9"/>
  <c r="AK139" i="9"/>
  <c r="AK140" i="9"/>
  <c r="AK169" i="9"/>
  <c r="AO170" i="9" s="1"/>
  <c r="AK173" i="9"/>
  <c r="AK42" i="6"/>
  <c r="AK45" i="6"/>
  <c r="AK47" i="6"/>
  <c r="AK48" i="6"/>
  <c r="AK49" i="6"/>
  <c r="AK51" i="6"/>
  <c r="AK55" i="6"/>
  <c r="AK56" i="6"/>
  <c r="AK58" i="6"/>
  <c r="AK59" i="6"/>
  <c r="AK61" i="6"/>
  <c r="AK62" i="6"/>
  <c r="AK85" i="6"/>
  <c r="AK90" i="6"/>
  <c r="AK91" i="6"/>
  <c r="AK94" i="6"/>
  <c r="AK95" i="6"/>
  <c r="AO132" i="9" l="1"/>
  <c r="N2" i="9"/>
  <c r="M2" i="10"/>
  <c r="M2" i="6" s="1"/>
  <c r="AO126" i="9"/>
  <c r="AO43" i="6"/>
  <c r="AO84" i="6"/>
  <c r="AK126" i="9"/>
  <c r="AL96" i="9"/>
  <c r="AO95" i="9"/>
  <c r="AK30" i="10"/>
  <c r="AO31" i="10"/>
  <c r="AK136" i="9"/>
  <c r="AK52" i="9"/>
  <c r="AK33" i="10"/>
  <c r="AK34" i="10" s="1"/>
  <c r="AK175" i="9"/>
  <c r="O2" i="9" l="1"/>
  <c r="N2" i="10"/>
  <c r="N2" i="6" s="1"/>
  <c r="AO176" i="9"/>
  <c r="AJ173" i="9"/>
  <c r="AJ169" i="9"/>
  <c r="AJ140" i="9"/>
  <c r="AJ139" i="9"/>
  <c r="AJ138" i="9"/>
  <c r="AJ130" i="9"/>
  <c r="AJ129" i="9"/>
  <c r="AJ128" i="9"/>
  <c r="AJ118" i="9"/>
  <c r="AJ117" i="9"/>
  <c r="AJ53" i="9"/>
  <c r="AJ95" i="6"/>
  <c r="AJ94" i="6"/>
  <c r="AJ91" i="6"/>
  <c r="AJ90" i="6"/>
  <c r="AJ85" i="6"/>
  <c r="AJ62" i="6"/>
  <c r="AJ61" i="6"/>
  <c r="AJ59" i="6"/>
  <c r="AJ58" i="6"/>
  <c r="AJ56" i="6"/>
  <c r="AJ55" i="6"/>
  <c r="AJ51" i="6"/>
  <c r="AJ49" i="6"/>
  <c r="AJ48" i="6"/>
  <c r="AJ47" i="6"/>
  <c r="AJ45" i="6"/>
  <c r="AJ42" i="6"/>
  <c r="AJ9" i="10"/>
  <c r="AN25" i="10" s="1"/>
  <c r="AJ29" i="10"/>
  <c r="AN31" i="10" s="1"/>
  <c r="AJ20" i="10"/>
  <c r="AJ19" i="10"/>
  <c r="AJ18" i="10"/>
  <c r="AJ94" i="9"/>
  <c r="AJ84" i="9"/>
  <c r="AJ61" i="9"/>
  <c r="AJ56" i="9"/>
  <c r="AJ54" i="9"/>
  <c r="AN132" i="9" l="1"/>
  <c r="P2" i="9"/>
  <c r="O2" i="10"/>
  <c r="O2" i="6" s="1"/>
  <c r="AN126" i="9"/>
  <c r="AN84" i="6"/>
  <c r="AN43" i="6"/>
  <c r="AJ175" i="9"/>
  <c r="AN170" i="9"/>
  <c r="AK96" i="9"/>
  <c r="AN95" i="9"/>
  <c r="AJ136" i="9"/>
  <c r="AK26" i="10"/>
  <c r="AJ52" i="9"/>
  <c r="AJ126" i="9"/>
  <c r="AJ33" i="10"/>
  <c r="AJ34" i="10" s="1"/>
  <c r="AJ24" i="10"/>
  <c r="AJ30" i="10"/>
  <c r="Q2" i="9" l="1"/>
  <c r="P2" i="10"/>
  <c r="P2" i="6" s="1"/>
  <c r="AN176" i="9"/>
  <c r="AJ53" i="6"/>
  <c r="AK53" i="6"/>
  <c r="AI95" i="6"/>
  <c r="AI94" i="6"/>
  <c r="AI91" i="6"/>
  <c r="AI90" i="6"/>
  <c r="AI85" i="6"/>
  <c r="AI62" i="6"/>
  <c r="AI61" i="6"/>
  <c r="AI59" i="6"/>
  <c r="AI58" i="6"/>
  <c r="AI56" i="6"/>
  <c r="AI55" i="6"/>
  <c r="AI53" i="6"/>
  <c r="AI51" i="6"/>
  <c r="AI49" i="6"/>
  <c r="AI48" i="6"/>
  <c r="AI47" i="6"/>
  <c r="AI45" i="6"/>
  <c r="AI42" i="6"/>
  <c r="AI29" i="10"/>
  <c r="AM31" i="10" s="1"/>
  <c r="AI20" i="10"/>
  <c r="AI19" i="10"/>
  <c r="AI18" i="10"/>
  <c r="AI9" i="10"/>
  <c r="AI173" i="9"/>
  <c r="AI169" i="9"/>
  <c r="AI84" i="9"/>
  <c r="AI61" i="9"/>
  <c r="AI56" i="9"/>
  <c r="AI54" i="9"/>
  <c r="R2" i="9" l="1"/>
  <c r="Q2" i="10"/>
  <c r="Q2" i="6" s="1"/>
  <c r="AM84" i="6"/>
  <c r="AM43" i="6"/>
  <c r="AM25" i="10"/>
  <c r="AI175" i="9"/>
  <c r="AM170" i="9"/>
  <c r="AI52" i="9"/>
  <c r="AM132" i="9"/>
  <c r="AI24" i="10"/>
  <c r="AJ26" i="10"/>
  <c r="AI33" i="10"/>
  <c r="AI34" i="10" s="1"/>
  <c r="AI30" i="10"/>
  <c r="AI94" i="9"/>
  <c r="AI117" i="9"/>
  <c r="AI118" i="9"/>
  <c r="AI126" i="9"/>
  <c r="AI128" i="9"/>
  <c r="AI129" i="9"/>
  <c r="AI130" i="9"/>
  <c r="AI136" i="9"/>
  <c r="AI138" i="9"/>
  <c r="AI139" i="9"/>
  <c r="AI140" i="9"/>
  <c r="S2" i="9" l="1"/>
  <c r="R2" i="10"/>
  <c r="R2" i="6" s="1"/>
  <c r="AM176" i="9"/>
  <c r="AJ96" i="9"/>
  <c r="AM95" i="9"/>
  <c r="W187" i="9"/>
  <c r="X187" i="9"/>
  <c r="Y187" i="9"/>
  <c r="Z187" i="9"/>
  <c r="AA187" i="9"/>
  <c r="AB187" i="9"/>
  <c r="AC187" i="9"/>
  <c r="AL188" i="9"/>
  <c r="AH173" i="9"/>
  <c r="AG173" i="9"/>
  <c r="AF173" i="9"/>
  <c r="AE173" i="9"/>
  <c r="AG169" i="9"/>
  <c r="AF169" i="9"/>
  <c r="AE169" i="9"/>
  <c r="AD169" i="9"/>
  <c r="AD175" i="9" s="1"/>
  <c r="AC169" i="9"/>
  <c r="AC175" i="9" s="1"/>
  <c r="AB169" i="9"/>
  <c r="AB175" i="9" s="1"/>
  <c r="AA169" i="9"/>
  <c r="AA175" i="9" s="1"/>
  <c r="Z169" i="9"/>
  <c r="Y169" i="9"/>
  <c r="X169" i="9"/>
  <c r="W169" i="9"/>
  <c r="V169" i="9"/>
  <c r="U169" i="9"/>
  <c r="T169" i="9"/>
  <c r="S169" i="9"/>
  <c r="AH169" i="9"/>
  <c r="AH28" i="6"/>
  <c r="AH84" i="9"/>
  <c r="AG84" i="9"/>
  <c r="AF84" i="9"/>
  <c r="AE84" i="9"/>
  <c r="T2" i="9" l="1"/>
  <c r="S2" i="10"/>
  <c r="S2" i="6" s="1"/>
  <c r="AB188" i="9"/>
  <c r="AA188" i="9"/>
  <c r="AH175" i="9"/>
  <c r="AL170" i="9"/>
  <c r="AG175" i="9"/>
  <c r="AK170" i="9"/>
  <c r="AF175" i="9"/>
  <c r="AJ170" i="9"/>
  <c r="Y170" i="9"/>
  <c r="Z170" i="9"/>
  <c r="AD170" i="9"/>
  <c r="W170" i="9"/>
  <c r="AE175" i="9"/>
  <c r="AI170" i="9"/>
  <c r="X170" i="9"/>
  <c r="AH67" i="6"/>
  <c r="AI28" i="6"/>
  <c r="AC170" i="9"/>
  <c r="AC188" i="9"/>
  <c r="AE170" i="9"/>
  <c r="AF170" i="9"/>
  <c r="AG170" i="9"/>
  <c r="AH170" i="9"/>
  <c r="AA170" i="9"/>
  <c r="AB170" i="9"/>
  <c r="AH95" i="6"/>
  <c r="AH94" i="6"/>
  <c r="AH91" i="6"/>
  <c r="AH90" i="6"/>
  <c r="AH85" i="6"/>
  <c r="AH62" i="6"/>
  <c r="AH61" i="6"/>
  <c r="AH59" i="6"/>
  <c r="AH58" i="6"/>
  <c r="AH56" i="6"/>
  <c r="AH55" i="6"/>
  <c r="AH53" i="6"/>
  <c r="AH51" i="6"/>
  <c r="AH49" i="6"/>
  <c r="AH48" i="6"/>
  <c r="AH47" i="6"/>
  <c r="AH45" i="6"/>
  <c r="AH42" i="6"/>
  <c r="AH29" i="10"/>
  <c r="AL31" i="10" s="1"/>
  <c r="AH20" i="10"/>
  <c r="AH19" i="10"/>
  <c r="AH18" i="10"/>
  <c r="AH9" i="10"/>
  <c r="AH140" i="9"/>
  <c r="AH139" i="9"/>
  <c r="AH138" i="9"/>
  <c r="AH136" i="9"/>
  <c r="AH130" i="9"/>
  <c r="AH129" i="9"/>
  <c r="AH128" i="9"/>
  <c r="AH126" i="9"/>
  <c r="AH118" i="9"/>
  <c r="AH117" i="9"/>
  <c r="AH94" i="9"/>
  <c r="AL95" i="9" s="1"/>
  <c r="AH88" i="9"/>
  <c r="AH61" i="9"/>
  <c r="AH56" i="9"/>
  <c r="AH54" i="9"/>
  <c r="U2" i="9" l="1"/>
  <c r="T2" i="10"/>
  <c r="T2" i="6" s="1"/>
  <c r="AJ176" i="9"/>
  <c r="AK176" i="9"/>
  <c r="AL176" i="9"/>
  <c r="AH176" i="9"/>
  <c r="AL84" i="6"/>
  <c r="AL43" i="6"/>
  <c r="AL25" i="10"/>
  <c r="AH25" i="10"/>
  <c r="AH52" i="9"/>
  <c r="AL132" i="9"/>
  <c r="AG176" i="9"/>
  <c r="AF176" i="9"/>
  <c r="AI67" i="6"/>
  <c r="AJ28" i="6"/>
  <c r="AI176" i="9"/>
  <c r="AE176" i="9"/>
  <c r="AH24" i="10"/>
  <c r="AI26" i="10"/>
  <c r="AH95" i="9"/>
  <c r="AI96" i="9"/>
  <c r="AH33" i="10"/>
  <c r="AH34" i="10" s="1"/>
  <c r="AH30" i="10"/>
  <c r="AA41" i="12"/>
  <c r="AG9" i="6"/>
  <c r="V2" i="9" l="1"/>
  <c r="U2" i="10"/>
  <c r="U2" i="6" s="1"/>
  <c r="AJ67" i="6"/>
  <c r="AK28" i="6"/>
  <c r="AH9" i="6"/>
  <c r="AG10" i="6"/>
  <c r="AG42" i="6"/>
  <c r="AG45" i="6"/>
  <c r="AG47" i="6"/>
  <c r="AG48" i="6"/>
  <c r="AG49" i="6"/>
  <c r="AG51" i="6"/>
  <c r="AG53" i="6"/>
  <c r="AG55" i="6"/>
  <c r="AG56" i="6"/>
  <c r="AG58" i="6"/>
  <c r="AG59" i="6"/>
  <c r="AG61" i="6"/>
  <c r="AG62" i="6"/>
  <c r="AG67" i="6"/>
  <c r="AG85" i="6"/>
  <c r="AG90" i="6"/>
  <c r="AG91" i="6"/>
  <c r="AG94" i="6"/>
  <c r="AG95" i="6"/>
  <c r="AG9" i="10"/>
  <c r="AG18" i="10"/>
  <c r="AG19" i="10"/>
  <c r="AG20" i="10"/>
  <c r="AG29" i="10"/>
  <c r="AK31" i="10" s="1"/>
  <c r="AG54" i="9"/>
  <c r="AG56" i="9"/>
  <c r="AG61" i="9"/>
  <c r="AG88" i="9"/>
  <c r="AG94" i="9"/>
  <c r="AK95" i="9" s="1"/>
  <c r="AG117" i="9"/>
  <c r="AG118" i="9"/>
  <c r="AG126" i="9"/>
  <c r="AG128" i="9"/>
  <c r="AG129" i="9"/>
  <c r="AG130" i="9"/>
  <c r="AG136" i="9"/>
  <c r="AG138" i="9"/>
  <c r="AG139" i="9"/>
  <c r="AG140" i="9"/>
  <c r="W2" i="9" l="1"/>
  <c r="V2" i="10"/>
  <c r="V2" i="6" s="1"/>
  <c r="AK67" i="6"/>
  <c r="AK74" i="6" s="1"/>
  <c r="AL28" i="6"/>
  <c r="AH26" i="10"/>
  <c r="AK25" i="10"/>
  <c r="AG25" i="10"/>
  <c r="AK84" i="6"/>
  <c r="AK43" i="6"/>
  <c r="AG52" i="9"/>
  <c r="AG30" i="10"/>
  <c r="AH10" i="6"/>
  <c r="AH87" i="6" s="1"/>
  <c r="AI9" i="6"/>
  <c r="AG24" i="10"/>
  <c r="AH96" i="9"/>
  <c r="AG33" i="10"/>
  <c r="AG34" i="10" s="1"/>
  <c r="AA222" i="12"/>
  <c r="AA221" i="12"/>
  <c r="AA220" i="12"/>
  <c r="AA219" i="12"/>
  <c r="AA328" i="12"/>
  <c r="AA327" i="12"/>
  <c r="AA320" i="12"/>
  <c r="AA309" i="12"/>
  <c r="AA304" i="12"/>
  <c r="AA293" i="12"/>
  <c r="AA287" i="12"/>
  <c r="AA271" i="12"/>
  <c r="AA260" i="12"/>
  <c r="AA254" i="12"/>
  <c r="AA228" i="12"/>
  <c r="AA218" i="12"/>
  <c r="AA217" i="12"/>
  <c r="AA211" i="12"/>
  <c r="AA210" i="12"/>
  <c r="AA206" i="12"/>
  <c r="AA205" i="12"/>
  <c r="AA204" i="12"/>
  <c r="AA203" i="12"/>
  <c r="AA202" i="12"/>
  <c r="AA201" i="12"/>
  <c r="AA200" i="12"/>
  <c r="AA199" i="12"/>
  <c r="AA190" i="12"/>
  <c r="AA183" i="12"/>
  <c r="AA182" i="12"/>
  <c r="AA169" i="12"/>
  <c r="AA168" i="12"/>
  <c r="AA167" i="12"/>
  <c r="AA162" i="12"/>
  <c r="AA152" i="12"/>
  <c r="AA146" i="12"/>
  <c r="AA135" i="12"/>
  <c r="AA134" i="12"/>
  <c r="AA130" i="12"/>
  <c r="AA129" i="12"/>
  <c r="AA128" i="12"/>
  <c r="AA116" i="12"/>
  <c r="AA110" i="12"/>
  <c r="AU319" i="12"/>
  <c r="AU318" i="12" s="1"/>
  <c r="AT318" i="12" s="1"/>
  <c r="AU308" i="12"/>
  <c r="AU307" i="12" s="1"/>
  <c r="AT307" i="12" s="1"/>
  <c r="AS307" i="12" s="1"/>
  <c r="AU303" i="12"/>
  <c r="AU302" i="12" s="1"/>
  <c r="AT302" i="12" s="1"/>
  <c r="AS302" i="12" s="1"/>
  <c r="AU292" i="12"/>
  <c r="AU291" i="12" s="1"/>
  <c r="AT291" i="12" s="1"/>
  <c r="AU286" i="12"/>
  <c r="AU285" i="12" s="1"/>
  <c r="AT285" i="12" s="1"/>
  <c r="AU326" i="12"/>
  <c r="AU325" i="12" s="1"/>
  <c r="AT325" i="12" s="1"/>
  <c r="AA277" i="12"/>
  <c r="AU270" i="12"/>
  <c r="AU269" i="12" s="1"/>
  <c r="AT269" i="12" s="1"/>
  <c r="AU276" i="12"/>
  <c r="AU275" i="12" s="1"/>
  <c r="AT275" i="12" s="1"/>
  <c r="AU259" i="12"/>
  <c r="AU258" i="12" s="1"/>
  <c r="AT258" i="12" s="1"/>
  <c r="AU253" i="12"/>
  <c r="AU252" i="12" s="1"/>
  <c r="AT252" i="12" s="1"/>
  <c r="AA237" i="12"/>
  <c r="AU236" i="12"/>
  <c r="AU235" i="12" s="1"/>
  <c r="AT235" i="12" s="1"/>
  <c r="AU227" i="12"/>
  <c r="AU226" i="12" s="1"/>
  <c r="AT226" i="12" s="1"/>
  <c r="AU216" i="12"/>
  <c r="AU215" i="12" s="1"/>
  <c r="AT215" i="12" s="1"/>
  <c r="AB198" i="12"/>
  <c r="AB197" i="12" s="1"/>
  <c r="AU209" i="12"/>
  <c r="AU208" i="12" s="1"/>
  <c r="AT208" i="12" s="1"/>
  <c r="AU189" i="12"/>
  <c r="AU188" i="12" s="1"/>
  <c r="AT188" i="12" s="1"/>
  <c r="AU181" i="12"/>
  <c r="AU180" i="12" s="1"/>
  <c r="AT180" i="12" s="1"/>
  <c r="AU166" i="12"/>
  <c r="AU165" i="12" s="1"/>
  <c r="AT165" i="12" s="1"/>
  <c r="AU161" i="12"/>
  <c r="AU160" i="12" s="1"/>
  <c r="AT160" i="12" s="1"/>
  <c r="AU151" i="12"/>
  <c r="AU150" i="12" s="1"/>
  <c r="AT150" i="12" s="1"/>
  <c r="AU145" i="12"/>
  <c r="AU144" i="12" s="1"/>
  <c r="AT144" i="12" s="1"/>
  <c r="AU133" i="12"/>
  <c r="AU132" i="12" s="1"/>
  <c r="AT132" i="12" s="1"/>
  <c r="AU127" i="12"/>
  <c r="AU115" i="12"/>
  <c r="AU114" i="12" s="1"/>
  <c r="AT114" i="12" s="1"/>
  <c r="AU109" i="12"/>
  <c r="AU108" i="12" s="1"/>
  <c r="AT108" i="12" s="1"/>
  <c r="AS108" i="12" s="1"/>
  <c r="AA97" i="12"/>
  <c r="AA90" i="12"/>
  <c r="AU96" i="12"/>
  <c r="AU95" i="12" s="1"/>
  <c r="AT95" i="12" s="1"/>
  <c r="AU89" i="12"/>
  <c r="AU88" i="12" s="1"/>
  <c r="AT88" i="12" s="1"/>
  <c r="AA78" i="12"/>
  <c r="AA72" i="12"/>
  <c r="AU77" i="12"/>
  <c r="AU76" i="12" s="1"/>
  <c r="AT76" i="12" s="1"/>
  <c r="AU71" i="12"/>
  <c r="AU70" i="12" s="1"/>
  <c r="AT70" i="12" s="1"/>
  <c r="AA61" i="12"/>
  <c r="AA60" i="12"/>
  <c r="AU59" i="12"/>
  <c r="AU58" i="12" s="1"/>
  <c r="AT58" i="12" s="1"/>
  <c r="AA55" i="12"/>
  <c r="AA54" i="12"/>
  <c r="AU53" i="12"/>
  <c r="AU52" i="12" s="1"/>
  <c r="AT52" i="12" s="1"/>
  <c r="AA35" i="12"/>
  <c r="AU40" i="12"/>
  <c r="AU39" i="12" s="1"/>
  <c r="AT39" i="12" s="1"/>
  <c r="AU34" i="12"/>
  <c r="AU33" i="12" s="1"/>
  <c r="AT33" i="12" s="1"/>
  <c r="AA22" i="12"/>
  <c r="AU21" i="12"/>
  <c r="AU20" i="12" s="1"/>
  <c r="AT20" i="12" s="1"/>
  <c r="AA16" i="12"/>
  <c r="AU15" i="12"/>
  <c r="AU14" i="12" s="1"/>
  <c r="AT14" i="12" s="1"/>
  <c r="D93" i="14"/>
  <c r="D92" i="14"/>
  <c r="D91" i="14"/>
  <c r="D90" i="14"/>
  <c r="D89" i="14"/>
  <c r="D88" i="14"/>
  <c r="D87" i="14"/>
  <c r="D86" i="14"/>
  <c r="D85" i="14"/>
  <c r="D84" i="14"/>
  <c r="D83" i="14"/>
  <c r="D82" i="14"/>
  <c r="D81" i="14"/>
  <c r="D80" i="14"/>
  <c r="D79" i="14"/>
  <c r="D78" i="14"/>
  <c r="D77" i="14"/>
  <c r="D76" i="14"/>
  <c r="D75" i="14"/>
  <c r="D74" i="14"/>
  <c r="D73" i="14"/>
  <c r="D72" i="14"/>
  <c r="D71" i="14"/>
  <c r="D70" i="14"/>
  <c r="D69" i="14"/>
  <c r="D68" i="14"/>
  <c r="D67" i="14"/>
  <c r="D66" i="14"/>
  <c r="D65" i="14"/>
  <c r="D64" i="14"/>
  <c r="D63" i="14"/>
  <c r="D62" i="14"/>
  <c r="D61" i="14"/>
  <c r="D60" i="14"/>
  <c r="D59" i="14"/>
  <c r="D58" i="14"/>
  <c r="D57" i="14"/>
  <c r="D56" i="14"/>
  <c r="D55" i="14"/>
  <c r="D54" i="14"/>
  <c r="D53" i="14"/>
  <c r="D52" i="14"/>
  <c r="D51" i="14"/>
  <c r="D50" i="14"/>
  <c r="D49" i="14"/>
  <c r="D48" i="14"/>
  <c r="D47" i="14"/>
  <c r="D46" i="14"/>
  <c r="D45" i="14"/>
  <c r="D44" i="14"/>
  <c r="D43" i="14"/>
  <c r="D42" i="14"/>
  <c r="D41" i="14"/>
  <c r="D40" i="14"/>
  <c r="D39" i="14"/>
  <c r="D38" i="14"/>
  <c r="D37" i="14"/>
  <c r="D36" i="14"/>
  <c r="D35" i="14"/>
  <c r="D34" i="14"/>
  <c r="D33" i="14"/>
  <c r="D32" i="14"/>
  <c r="D31" i="14"/>
  <c r="D30" i="14"/>
  <c r="D29" i="14"/>
  <c r="D28" i="14"/>
  <c r="D27" i="14"/>
  <c r="D26" i="14"/>
  <c r="D25" i="14"/>
  <c r="D24" i="14"/>
  <c r="D23" i="14"/>
  <c r="D22" i="14"/>
  <c r="D21" i="14"/>
  <c r="D20" i="14"/>
  <c r="D19" i="14"/>
  <c r="D18" i="14"/>
  <c r="D17" i="14"/>
  <c r="D16" i="14"/>
  <c r="D15" i="14"/>
  <c r="D14" i="14"/>
  <c r="D13" i="14"/>
  <c r="D12" i="14"/>
  <c r="D11" i="14"/>
  <c r="D10" i="14"/>
  <c r="D9" i="14"/>
  <c r="D8" i="14"/>
  <c r="D7" i="14"/>
  <c r="D6" i="14"/>
  <c r="D5" i="14"/>
  <c r="D4" i="14"/>
  <c r="D3" i="14"/>
  <c r="D2" i="14"/>
  <c r="X2" i="9" l="1"/>
  <c r="W2" i="10"/>
  <c r="W2" i="6" s="1"/>
  <c r="AJ9" i="6"/>
  <c r="AL67" i="6"/>
  <c r="AL74" i="6" s="1"/>
  <c r="AM28" i="6"/>
  <c r="AT276" i="12"/>
  <c r="AU129" i="12"/>
  <c r="AH54" i="6"/>
  <c r="AI10" i="6"/>
  <c r="AT15" i="12"/>
  <c r="AT16" i="12" s="1"/>
  <c r="AB201" i="12"/>
  <c r="AU254" i="12"/>
  <c r="AU260" i="12"/>
  <c r="AU293" i="12"/>
  <c r="AU146" i="12"/>
  <c r="AU90" i="12"/>
  <c r="AU126" i="12"/>
  <c r="AT126" i="12" s="1"/>
  <c r="AS126" i="12" s="1"/>
  <c r="AR126" i="12" s="1"/>
  <c r="AU54" i="12"/>
  <c r="AU162" i="12"/>
  <c r="AU182" i="12"/>
  <c r="AU55" i="12"/>
  <c r="AU328" i="12"/>
  <c r="AU130" i="12"/>
  <c r="AT319" i="12"/>
  <c r="AS318" i="12"/>
  <c r="AR307" i="12"/>
  <c r="AS308" i="12"/>
  <c r="AT308" i="12"/>
  <c r="AR302" i="12"/>
  <c r="AS303" i="12"/>
  <c r="AT303" i="12"/>
  <c r="AS291" i="12"/>
  <c r="AT292" i="12"/>
  <c r="AT293" i="12" s="1"/>
  <c r="AT286" i="12"/>
  <c r="AS285" i="12"/>
  <c r="AT326" i="12"/>
  <c r="AT327" i="12" s="1"/>
  <c r="AS325" i="12"/>
  <c r="AS269" i="12"/>
  <c r="AT270" i="12"/>
  <c r="AT271" i="12" s="1"/>
  <c r="AS275" i="12"/>
  <c r="AT259" i="12"/>
  <c r="AT260" i="12" s="1"/>
  <c r="AS258" i="12"/>
  <c r="AT253" i="12"/>
  <c r="AT254" i="12" s="1"/>
  <c r="AS252" i="12"/>
  <c r="AS235" i="12"/>
  <c r="AT236" i="12"/>
  <c r="AT237" i="12" s="1"/>
  <c r="AS226" i="12"/>
  <c r="AT227" i="12"/>
  <c r="AS215" i="12"/>
  <c r="AT216" i="12"/>
  <c r="AS208" i="12"/>
  <c r="AT209" i="12"/>
  <c r="AS188" i="12"/>
  <c r="AT189" i="12"/>
  <c r="AT190" i="12" s="1"/>
  <c r="AT181" i="12"/>
  <c r="AT182" i="12" s="1"/>
  <c r="AS180" i="12"/>
  <c r="AS165" i="12"/>
  <c r="AT166" i="12"/>
  <c r="AT169" i="12" s="1"/>
  <c r="AS160" i="12"/>
  <c r="AT161" i="12"/>
  <c r="AT162" i="12" s="1"/>
  <c r="AT151" i="12"/>
  <c r="AT152" i="12" s="1"/>
  <c r="AS150" i="12"/>
  <c r="AT145" i="12"/>
  <c r="AT146" i="12" s="1"/>
  <c r="AS144" i="12"/>
  <c r="AS132" i="12"/>
  <c r="AT133" i="12"/>
  <c r="AU128" i="12"/>
  <c r="AS109" i="12"/>
  <c r="AR108" i="12"/>
  <c r="AS114" i="12"/>
  <c r="AT115" i="12"/>
  <c r="AT109" i="12"/>
  <c r="AT110" i="12" s="1"/>
  <c r="AT96" i="12"/>
  <c r="AT97" i="12" s="1"/>
  <c r="AS95" i="12"/>
  <c r="AT89" i="12"/>
  <c r="AT90" i="12" s="1"/>
  <c r="AS88" i="12"/>
  <c r="AT71" i="12"/>
  <c r="AS70" i="12"/>
  <c r="AS76" i="12"/>
  <c r="AT77" i="12"/>
  <c r="AS58" i="12"/>
  <c r="AT59" i="12"/>
  <c r="AT60" i="12" s="1"/>
  <c r="AS52" i="12"/>
  <c r="AT53" i="12"/>
  <c r="AT54" i="12" s="1"/>
  <c r="AT34" i="12"/>
  <c r="AT35" i="12" s="1"/>
  <c r="AS33" i="12"/>
  <c r="AT40" i="12"/>
  <c r="AS39" i="12"/>
  <c r="AU35" i="12"/>
  <c r="AT21" i="12"/>
  <c r="AT22" i="12" s="1"/>
  <c r="AS20" i="12"/>
  <c r="AU16" i="12"/>
  <c r="AS14" i="12"/>
  <c r="AS15" i="12" s="1"/>
  <c r="AS16" i="12" s="1"/>
  <c r="Y2" i="9" l="1"/>
  <c r="X2" i="10"/>
  <c r="X2" i="6" s="1"/>
  <c r="AM67" i="6"/>
  <c r="AN28" i="6"/>
  <c r="AK9" i="6"/>
  <c r="AJ10" i="6"/>
  <c r="AJ54" i="6" s="1"/>
  <c r="AI87" i="6"/>
  <c r="AI54" i="6"/>
  <c r="AT55" i="12"/>
  <c r="AS127" i="12"/>
  <c r="AS130" i="12" s="1"/>
  <c r="AT127" i="12"/>
  <c r="AT129" i="12" s="1"/>
  <c r="AT220" i="12"/>
  <c r="AT218" i="12"/>
  <c r="AT219" i="12"/>
  <c r="AT328" i="12"/>
  <c r="AT221" i="12"/>
  <c r="AT222" i="12"/>
  <c r="AT217" i="12"/>
  <c r="AT134" i="12"/>
  <c r="AT135" i="12"/>
  <c r="AT167" i="12"/>
  <c r="AT168" i="12"/>
  <c r="AR318" i="12"/>
  <c r="AS319" i="12"/>
  <c r="AR308" i="12"/>
  <c r="AQ307" i="12"/>
  <c r="AR303" i="12"/>
  <c r="AQ302" i="12"/>
  <c r="AR291" i="12"/>
  <c r="AS292" i="12"/>
  <c r="AS293" i="12" s="1"/>
  <c r="AR285" i="12"/>
  <c r="AS286" i="12"/>
  <c r="AR325" i="12"/>
  <c r="AS326" i="12"/>
  <c r="AR269" i="12"/>
  <c r="AS270" i="12"/>
  <c r="AR275" i="12"/>
  <c r="AS276" i="12"/>
  <c r="AR258" i="12"/>
  <c r="AS259" i="12"/>
  <c r="AS260" i="12" s="1"/>
  <c r="AR252" i="12"/>
  <c r="AS253" i="12"/>
  <c r="AS254" i="12" s="1"/>
  <c r="AR235" i="12"/>
  <c r="AS236" i="12"/>
  <c r="AT228" i="12"/>
  <c r="AS227" i="12"/>
  <c r="AR226" i="12"/>
  <c r="AS216" i="12"/>
  <c r="AR215" i="12"/>
  <c r="AS209" i="12"/>
  <c r="AR208" i="12"/>
  <c r="AT210" i="12"/>
  <c r="AR188" i="12"/>
  <c r="AS189" i="12"/>
  <c r="AR180" i="12"/>
  <c r="AS181" i="12"/>
  <c r="AS166" i="12"/>
  <c r="AR165" i="12"/>
  <c r="AR160" i="12"/>
  <c r="AS161" i="12"/>
  <c r="AS162" i="12" s="1"/>
  <c r="AR150" i="12"/>
  <c r="AS151" i="12"/>
  <c r="AR144" i="12"/>
  <c r="AS145" i="12"/>
  <c r="AS146" i="12" s="1"/>
  <c r="AR127" i="12"/>
  <c r="AQ126" i="12"/>
  <c r="AR132" i="12"/>
  <c r="AS133" i="12"/>
  <c r="AR114" i="12"/>
  <c r="AS115" i="12"/>
  <c r="AR109" i="12"/>
  <c r="AQ108" i="12"/>
  <c r="AR95" i="12"/>
  <c r="AS96" i="12"/>
  <c r="AR88" i="12"/>
  <c r="AS89" i="12"/>
  <c r="AS90" i="12" s="1"/>
  <c r="AS77" i="12"/>
  <c r="AR76" i="12"/>
  <c r="AR70" i="12"/>
  <c r="AS71" i="12"/>
  <c r="AS59" i="12"/>
  <c r="AR58" i="12"/>
  <c r="AT61" i="12"/>
  <c r="AS53" i="12"/>
  <c r="AR52" i="12"/>
  <c r="AS40" i="12"/>
  <c r="AR39" i="12"/>
  <c r="AS34" i="12"/>
  <c r="AS35" i="12" s="1"/>
  <c r="AR33" i="12"/>
  <c r="AR20" i="12"/>
  <c r="AS21" i="12"/>
  <c r="AR14" i="12"/>
  <c r="AR15" i="12" s="1"/>
  <c r="AR16" i="12" s="1"/>
  <c r="Z2" i="9" l="1"/>
  <c r="Y2" i="10"/>
  <c r="Y2" i="6" s="1"/>
  <c r="AJ87" i="6"/>
  <c r="AL9" i="6"/>
  <c r="AK10" i="6"/>
  <c r="AK87" i="6" s="1"/>
  <c r="AM74" i="6"/>
  <c r="AN67" i="6"/>
  <c r="AN74" i="6" s="1"/>
  <c r="AO28" i="6"/>
  <c r="AS129" i="12"/>
  <c r="AS128" i="12"/>
  <c r="AT130" i="12"/>
  <c r="AT128" i="12"/>
  <c r="AS327" i="12"/>
  <c r="AS328" i="12"/>
  <c r="AR128" i="12"/>
  <c r="AR130" i="12"/>
  <c r="AR129" i="12"/>
  <c r="AS54" i="12"/>
  <c r="AS55" i="12"/>
  <c r="AS182" i="12"/>
  <c r="AR319" i="12"/>
  <c r="AQ318" i="12"/>
  <c r="AQ308" i="12"/>
  <c r="AP307" i="12"/>
  <c r="AQ303" i="12"/>
  <c r="AP302" i="12"/>
  <c r="AR292" i="12"/>
  <c r="AR293" i="12" s="1"/>
  <c r="AQ291" i="12"/>
  <c r="AR286" i="12"/>
  <c r="AQ285" i="12"/>
  <c r="AR326" i="12"/>
  <c r="AQ325" i="12"/>
  <c r="AR270" i="12"/>
  <c r="AQ269" i="12"/>
  <c r="AR276" i="12"/>
  <c r="AQ275" i="12"/>
  <c r="AR259" i="12"/>
  <c r="AR260" i="12" s="1"/>
  <c r="AQ258" i="12"/>
  <c r="AR253" i="12"/>
  <c r="AR254" i="12" s="1"/>
  <c r="AQ252" i="12"/>
  <c r="AR236" i="12"/>
  <c r="AQ235" i="12"/>
  <c r="AR227" i="12"/>
  <c r="AQ226" i="12"/>
  <c r="AR216" i="12"/>
  <c r="AQ215" i="12"/>
  <c r="AQ208" i="12"/>
  <c r="AR209" i="12"/>
  <c r="AR189" i="12"/>
  <c r="AQ188" i="12"/>
  <c r="AR181" i="12"/>
  <c r="AQ180" i="12"/>
  <c r="AR166" i="12"/>
  <c r="AQ165" i="12"/>
  <c r="AR161" i="12"/>
  <c r="AR162" i="12" s="1"/>
  <c r="AQ160" i="12"/>
  <c r="AR151" i="12"/>
  <c r="AQ150" i="12"/>
  <c r="AR145" i="12"/>
  <c r="AR146" i="12" s="1"/>
  <c r="AQ144" i="12"/>
  <c r="AR133" i="12"/>
  <c r="AQ132" i="12"/>
  <c r="AP126" i="12"/>
  <c r="AQ127" i="12"/>
  <c r="AQ109" i="12"/>
  <c r="AP108" i="12"/>
  <c r="AR115" i="12"/>
  <c r="AQ114" i="12"/>
  <c r="AR96" i="12"/>
  <c r="AQ95" i="12"/>
  <c r="AR89" i="12"/>
  <c r="AR90" i="12" s="1"/>
  <c r="AQ88" i="12"/>
  <c r="AR71" i="12"/>
  <c r="AQ70" i="12"/>
  <c r="AR77" i="12"/>
  <c r="AQ76" i="12"/>
  <c r="AQ58" i="12"/>
  <c r="AR59" i="12"/>
  <c r="AR53" i="12"/>
  <c r="AQ52" i="12"/>
  <c r="AR34" i="12"/>
  <c r="AR35" i="12" s="1"/>
  <c r="AQ33" i="12"/>
  <c r="AR40" i="12"/>
  <c r="AQ39" i="12"/>
  <c r="AR21" i="12"/>
  <c r="AQ20" i="12"/>
  <c r="AQ14" i="12"/>
  <c r="AQ15" i="12" s="1"/>
  <c r="AQ16" i="12" s="1"/>
  <c r="AK54" i="6" l="1"/>
  <c r="AA2" i="9"/>
  <c r="Z2" i="10"/>
  <c r="Z2" i="6" s="1"/>
  <c r="AK79" i="6"/>
  <c r="AL10" i="6"/>
  <c r="AL79" i="6" s="1"/>
  <c r="AM9" i="6"/>
  <c r="AO67" i="6"/>
  <c r="AO74" i="6" s="1"/>
  <c r="AP28" i="6"/>
  <c r="AQ128" i="12"/>
  <c r="AQ129" i="12"/>
  <c r="AQ130" i="12"/>
  <c r="AR327" i="12"/>
  <c r="AR328" i="12"/>
  <c r="AR54" i="12"/>
  <c r="AR55" i="12"/>
  <c r="AR182" i="12"/>
  <c r="AQ319" i="12"/>
  <c r="AP318" i="12"/>
  <c r="AP308" i="12"/>
  <c r="AO307" i="12"/>
  <c r="AO302" i="12"/>
  <c r="AP303" i="12"/>
  <c r="AQ292" i="12"/>
  <c r="AQ293" i="12" s="1"/>
  <c r="AP291" i="12"/>
  <c r="AQ286" i="12"/>
  <c r="AP285" i="12"/>
  <c r="AQ326" i="12"/>
  <c r="AP325" i="12"/>
  <c r="AP269" i="12"/>
  <c r="AQ270" i="12"/>
  <c r="AQ276" i="12"/>
  <c r="AP275" i="12"/>
  <c r="AQ259" i="12"/>
  <c r="AQ260" i="12" s="1"/>
  <c r="AP258" i="12"/>
  <c r="AQ253" i="12"/>
  <c r="AQ254" i="12" s="1"/>
  <c r="AP252" i="12"/>
  <c r="AQ236" i="12"/>
  <c r="AP235" i="12"/>
  <c r="AQ227" i="12"/>
  <c r="AP226" i="12"/>
  <c r="AP215" i="12"/>
  <c r="AQ216" i="12"/>
  <c r="AP208" i="12"/>
  <c r="AQ209" i="12"/>
  <c r="AQ189" i="12"/>
  <c r="AP188" i="12"/>
  <c r="AQ181" i="12"/>
  <c r="AP180" i="12"/>
  <c r="AQ166" i="12"/>
  <c r="AP165" i="12"/>
  <c r="AQ161" i="12"/>
  <c r="AQ162" i="12" s="1"/>
  <c r="AP160" i="12"/>
  <c r="AP150" i="12"/>
  <c r="AQ151" i="12"/>
  <c r="AQ145" i="12"/>
  <c r="AQ146" i="12" s="1"/>
  <c r="AP144" i="12"/>
  <c r="AO126" i="12"/>
  <c r="AP127" i="12"/>
  <c r="AQ133" i="12"/>
  <c r="AP132" i="12"/>
  <c r="AQ115" i="12"/>
  <c r="AP114" i="12"/>
  <c r="AO108" i="12"/>
  <c r="AP109" i="12"/>
  <c r="AQ96" i="12"/>
  <c r="AP95" i="12"/>
  <c r="AQ89" i="12"/>
  <c r="AQ90" i="12" s="1"/>
  <c r="AP88" i="12"/>
  <c r="AQ77" i="12"/>
  <c r="AP76" i="12"/>
  <c r="AQ71" i="12"/>
  <c r="AP70" i="12"/>
  <c r="AP58" i="12"/>
  <c r="AQ59" i="12"/>
  <c r="AP52" i="12"/>
  <c r="AQ53" i="12"/>
  <c r="AQ34" i="12"/>
  <c r="AQ35" i="12" s="1"/>
  <c r="AP33" i="12"/>
  <c r="AQ40" i="12"/>
  <c r="AP39" i="12"/>
  <c r="AQ21" i="12"/>
  <c r="AP20" i="12"/>
  <c r="AP14" i="12"/>
  <c r="AP15" i="12" s="1"/>
  <c r="AP16" i="12" s="1"/>
  <c r="AB2" i="9" l="1"/>
  <c r="AA2" i="10"/>
  <c r="AA2" i="6" s="1"/>
  <c r="AL54" i="6"/>
  <c r="AL87" i="6"/>
  <c r="AL88" i="6" s="1"/>
  <c r="AM10" i="6"/>
  <c r="AM87" i="6" s="1"/>
  <c r="AM88" i="6" s="1"/>
  <c r="AN9" i="6"/>
  <c r="AP67" i="6"/>
  <c r="AP74" i="6" s="1"/>
  <c r="AQ28" i="6"/>
  <c r="AQ55" i="12"/>
  <c r="AQ54" i="12"/>
  <c r="AQ328" i="12"/>
  <c r="AP128" i="12"/>
  <c r="AP130" i="12"/>
  <c r="AP129" i="12"/>
  <c r="AP319" i="12"/>
  <c r="AO318" i="12"/>
  <c r="AN307" i="12"/>
  <c r="AO308" i="12"/>
  <c r="AN302" i="12"/>
  <c r="AO303" i="12"/>
  <c r="AP292" i="12"/>
  <c r="AP293" i="12" s="1"/>
  <c r="AO291" i="12"/>
  <c r="AP286" i="12"/>
  <c r="AO285" i="12"/>
  <c r="AP326" i="12"/>
  <c r="AO325" i="12"/>
  <c r="AP270" i="12"/>
  <c r="AO269" i="12"/>
  <c r="AO275" i="12"/>
  <c r="AP276" i="12"/>
  <c r="AO258" i="12"/>
  <c r="AP259" i="12"/>
  <c r="AP260" i="12" s="1"/>
  <c r="AP253" i="12"/>
  <c r="AP254" i="12" s="1"/>
  <c r="AO252" i="12"/>
  <c r="AP236" i="12"/>
  <c r="AO235" i="12"/>
  <c r="AO226" i="12"/>
  <c r="AP227" i="12"/>
  <c r="AO215" i="12"/>
  <c r="AP216" i="12"/>
  <c r="AO208" i="12"/>
  <c r="AP209" i="12"/>
  <c r="AP189" i="12"/>
  <c r="AO188" i="12"/>
  <c r="AO180" i="12"/>
  <c r="AP181" i="12"/>
  <c r="AO165" i="12"/>
  <c r="AP166" i="12"/>
  <c r="AP161" i="12"/>
  <c r="AP162" i="12" s="1"/>
  <c r="AO160" i="12"/>
  <c r="AO150" i="12"/>
  <c r="AP151" i="12"/>
  <c r="AP145" i="12"/>
  <c r="AP146" i="12" s="1"/>
  <c r="AO144" i="12"/>
  <c r="AO127" i="12"/>
  <c r="AN126" i="12"/>
  <c r="AO132" i="12"/>
  <c r="AP133" i="12"/>
  <c r="AO109" i="12"/>
  <c r="AN108" i="12"/>
  <c r="AP115" i="12"/>
  <c r="AO114" i="12"/>
  <c r="AP96" i="12"/>
  <c r="AO95" i="12"/>
  <c r="AP89" i="12"/>
  <c r="AP90" i="12" s="1"/>
  <c r="AO88" i="12"/>
  <c r="AO76" i="12"/>
  <c r="AP77" i="12"/>
  <c r="AP71" i="12"/>
  <c r="AO70" i="12"/>
  <c r="AO58" i="12"/>
  <c r="AP59" i="12"/>
  <c r="AP53" i="12"/>
  <c r="AO52" i="12"/>
  <c r="AP40" i="12"/>
  <c r="AO39" i="12"/>
  <c r="AP34" i="12"/>
  <c r="AP35" i="12" s="1"/>
  <c r="AO33" i="12"/>
  <c r="AP21" i="12"/>
  <c r="AO20" i="12"/>
  <c r="AO14" i="12"/>
  <c r="AO15" i="12" s="1"/>
  <c r="AO16" i="12" s="1"/>
  <c r="AN10" i="6" l="1"/>
  <c r="AN79" i="6" s="1"/>
  <c r="AM54" i="6"/>
  <c r="AC2" i="9"/>
  <c r="AB2" i="10"/>
  <c r="AB2" i="6" s="1"/>
  <c r="AM79" i="6"/>
  <c r="AQ67" i="6"/>
  <c r="AQ74" i="6" s="1"/>
  <c r="AR28" i="6"/>
  <c r="AO9" i="6"/>
  <c r="AN54" i="6"/>
  <c r="AP328" i="12"/>
  <c r="AO128" i="12"/>
  <c r="AO129" i="12"/>
  <c r="AO130" i="12"/>
  <c r="AP54" i="12"/>
  <c r="AP55" i="12"/>
  <c r="AN318" i="12"/>
  <c r="AO319" i="12"/>
  <c r="AN308" i="12"/>
  <c r="AM307" i="12"/>
  <c r="AN303" i="12"/>
  <c r="AM302" i="12"/>
  <c r="AN291" i="12"/>
  <c r="AO292" i="12"/>
  <c r="AO293" i="12" s="1"/>
  <c r="AN285" i="12"/>
  <c r="AO286" i="12"/>
  <c r="AN325" i="12"/>
  <c r="AO326" i="12"/>
  <c r="AN269" i="12"/>
  <c r="AO270" i="12"/>
  <c r="AN275" i="12"/>
  <c r="AO276" i="12"/>
  <c r="AN258" i="12"/>
  <c r="AO259" i="12"/>
  <c r="AO260" i="12" s="1"/>
  <c r="AN252" i="12"/>
  <c r="AO253" i="12"/>
  <c r="AO254" i="12" s="1"/>
  <c r="AN235" i="12"/>
  <c r="AO236" i="12"/>
  <c r="AO227" i="12"/>
  <c r="AN226" i="12"/>
  <c r="AO216" i="12"/>
  <c r="AN215" i="12"/>
  <c r="AO209" i="12"/>
  <c r="AN208" i="12"/>
  <c r="AN188" i="12"/>
  <c r="AO189" i="12"/>
  <c r="AN180" i="12"/>
  <c r="AO181" i="12"/>
  <c r="AN165" i="12"/>
  <c r="AO166" i="12"/>
  <c r="AN160" i="12"/>
  <c r="AO161" i="12"/>
  <c r="AO162" i="12" s="1"/>
  <c r="AO151" i="12"/>
  <c r="AN150" i="12"/>
  <c r="AN144" i="12"/>
  <c r="AO145" i="12"/>
  <c r="AO146" i="12" s="1"/>
  <c r="AN132" i="12"/>
  <c r="AO133" i="12"/>
  <c r="AN127" i="12"/>
  <c r="AM126" i="12"/>
  <c r="AN114" i="12"/>
  <c r="AO115" i="12"/>
  <c r="AN109" i="12"/>
  <c r="AM108" i="12"/>
  <c r="AN95" i="12"/>
  <c r="AO96" i="12"/>
  <c r="AN88" i="12"/>
  <c r="AO89" i="12"/>
  <c r="AO90" i="12" s="1"/>
  <c r="AO71" i="12"/>
  <c r="AN70" i="12"/>
  <c r="AO77" i="12"/>
  <c r="AN76" i="12"/>
  <c r="AO59" i="12"/>
  <c r="AN58" i="12"/>
  <c r="AO53" i="12"/>
  <c r="AN52" i="12"/>
  <c r="AO34" i="12"/>
  <c r="AO35" i="12" s="1"/>
  <c r="AN33" i="12"/>
  <c r="AO40" i="12"/>
  <c r="AN39" i="12"/>
  <c r="AN20" i="12"/>
  <c r="AO21" i="12"/>
  <c r="AN14" i="12"/>
  <c r="AN15" i="12" s="1"/>
  <c r="AN87" i="6" l="1"/>
  <c r="AN88" i="6" s="1"/>
  <c r="AO10" i="6"/>
  <c r="AO79" i="6" s="1"/>
  <c r="AR67" i="6"/>
  <c r="AR74" i="6" s="1"/>
  <c r="AS28" i="6"/>
  <c r="AP9" i="6"/>
  <c r="AD2" i="9"/>
  <c r="AC2" i="10"/>
  <c r="AC2" i="6" s="1"/>
  <c r="AO328" i="12"/>
  <c r="AO54" i="12"/>
  <c r="AO55" i="12"/>
  <c r="AN128" i="12"/>
  <c r="AN130" i="12"/>
  <c r="AN129" i="12"/>
  <c r="AN319" i="12"/>
  <c r="AM318" i="12"/>
  <c r="AM308" i="12"/>
  <c r="AL307" i="12"/>
  <c r="AM303" i="12"/>
  <c r="AL302" i="12"/>
  <c r="AN292" i="12"/>
  <c r="AN293" i="12" s="1"/>
  <c r="AM291" i="12"/>
  <c r="AN286" i="12"/>
  <c r="AM285" i="12"/>
  <c r="AN326" i="12"/>
  <c r="AM325" i="12"/>
  <c r="AN270" i="12"/>
  <c r="AM269" i="12"/>
  <c r="AN276" i="12"/>
  <c r="AM275" i="12"/>
  <c r="AN259" i="12"/>
  <c r="AN260" i="12" s="1"/>
  <c r="AM258" i="12"/>
  <c r="AN253" i="12"/>
  <c r="AN254" i="12" s="1"/>
  <c r="AM252" i="12"/>
  <c r="AN236" i="12"/>
  <c r="AM235" i="12"/>
  <c r="AM226" i="12"/>
  <c r="AN227" i="12"/>
  <c r="AN216" i="12"/>
  <c r="AM215" i="12"/>
  <c r="AN209" i="12"/>
  <c r="AM208" i="12"/>
  <c r="AN189" i="12"/>
  <c r="AM188" i="12"/>
  <c r="AN181" i="12"/>
  <c r="AM180" i="12"/>
  <c r="AN166" i="12"/>
  <c r="AM165" i="12"/>
  <c r="AN161" i="12"/>
  <c r="AN162" i="12" s="1"/>
  <c r="AM160" i="12"/>
  <c r="AN151" i="12"/>
  <c r="AM150" i="12"/>
  <c r="AN145" i="12"/>
  <c r="AN146" i="12" s="1"/>
  <c r="AM144" i="12"/>
  <c r="AL126" i="12"/>
  <c r="AM127" i="12"/>
  <c r="AN133" i="12"/>
  <c r="AM132" i="12"/>
  <c r="AN115" i="12"/>
  <c r="AM114" i="12"/>
  <c r="AM109" i="12"/>
  <c r="AL108" i="12"/>
  <c r="AN96" i="12"/>
  <c r="AM95" i="12"/>
  <c r="AN89" i="12"/>
  <c r="AN90" i="12" s="1"/>
  <c r="AM88" i="12"/>
  <c r="AN77" i="12"/>
  <c r="AM76" i="12"/>
  <c r="AN71" i="12"/>
  <c r="AM70" i="12"/>
  <c r="AN59" i="12"/>
  <c r="AM58" i="12"/>
  <c r="AN53" i="12"/>
  <c r="AM52" i="12"/>
  <c r="AN34" i="12"/>
  <c r="AN35" i="12" s="1"/>
  <c r="AM33" i="12"/>
  <c r="AN40" i="12"/>
  <c r="AM39" i="12"/>
  <c r="AN21" i="12"/>
  <c r="AM20" i="12"/>
  <c r="AM14" i="12"/>
  <c r="AM15" i="12" s="1"/>
  <c r="AO87" i="6" l="1"/>
  <c r="AO88" i="6" s="1"/>
  <c r="AS79" i="6"/>
  <c r="AO54" i="6"/>
  <c r="AS67" i="6"/>
  <c r="AS74" i="6" s="1"/>
  <c r="AT28" i="6"/>
  <c r="AP10" i="6"/>
  <c r="AT79" i="6" s="1"/>
  <c r="AQ9" i="6"/>
  <c r="AE2" i="9"/>
  <c r="AD2" i="10"/>
  <c r="AD2" i="6" s="1"/>
  <c r="AN328" i="12"/>
  <c r="AN54" i="12"/>
  <c r="AN55" i="12"/>
  <c r="AM128" i="12"/>
  <c r="AM129" i="12"/>
  <c r="AM130" i="12"/>
  <c r="AM319" i="12"/>
  <c r="AL318" i="12"/>
  <c r="AK307" i="12"/>
  <c r="AL308" i="12"/>
  <c r="AL303" i="12"/>
  <c r="AK302" i="12"/>
  <c r="AM292" i="12"/>
  <c r="AM293" i="12" s="1"/>
  <c r="AL291" i="12"/>
  <c r="AM286" i="12"/>
  <c r="AL285" i="12"/>
  <c r="AM326" i="12"/>
  <c r="AL325" i="12"/>
  <c r="AM270" i="12"/>
  <c r="AL269" i="12"/>
  <c r="AM276" i="12"/>
  <c r="AL275" i="12"/>
  <c r="AM259" i="12"/>
  <c r="AM260" i="12" s="1"/>
  <c r="AL258" i="12"/>
  <c r="AM253" i="12"/>
  <c r="AM254" i="12" s="1"/>
  <c r="AL252" i="12"/>
  <c r="AL235" i="12"/>
  <c r="AM236" i="12"/>
  <c r="AM227" i="12"/>
  <c r="AL226" i="12"/>
  <c r="AM216" i="12"/>
  <c r="AL215" i="12"/>
  <c r="AL208" i="12"/>
  <c r="AM209" i="12"/>
  <c r="AL188" i="12"/>
  <c r="AM189" i="12"/>
  <c r="AM181" i="12"/>
  <c r="AL180" i="12"/>
  <c r="AL165" i="12"/>
  <c r="AM166" i="12"/>
  <c r="AL160" i="12"/>
  <c r="AM161" i="12"/>
  <c r="AM162" i="12" s="1"/>
  <c r="AM151" i="12"/>
  <c r="AL150" i="12"/>
  <c r="AM145" i="12"/>
  <c r="AM146" i="12" s="1"/>
  <c r="AL144" i="12"/>
  <c r="AM133" i="12"/>
  <c r="AL132" i="12"/>
  <c r="AK126" i="12"/>
  <c r="AL127" i="12"/>
  <c r="AK108" i="12"/>
  <c r="AL109" i="12"/>
  <c r="AM115" i="12"/>
  <c r="AL114" i="12"/>
  <c r="AM96" i="12"/>
  <c r="AL95" i="12"/>
  <c r="AM89" i="12"/>
  <c r="AM90" i="12" s="1"/>
  <c r="AL88" i="12"/>
  <c r="AM71" i="12"/>
  <c r="AL70" i="12"/>
  <c r="AM77" i="12"/>
  <c r="AL76" i="12"/>
  <c r="AL58" i="12"/>
  <c r="AM59" i="12"/>
  <c r="AL52" i="12"/>
  <c r="AM53" i="12"/>
  <c r="AM40" i="12"/>
  <c r="AL39" i="12"/>
  <c r="AM34" i="12"/>
  <c r="AM35" i="12" s="1"/>
  <c r="AL33" i="12"/>
  <c r="AM21" i="12"/>
  <c r="AL20" i="12"/>
  <c r="AL14" i="12"/>
  <c r="AL15" i="12" s="1"/>
  <c r="AT67" i="6" l="1"/>
  <c r="AT74" i="6" s="1"/>
  <c r="AU28" i="6"/>
  <c r="AS88" i="6"/>
  <c r="AQ10" i="6"/>
  <c r="AU79" i="6" s="1"/>
  <c r="AP87" i="6"/>
  <c r="AP54" i="6"/>
  <c r="AP79" i="6"/>
  <c r="AF2" i="9"/>
  <c r="AE2" i="10"/>
  <c r="AE2" i="6" s="1"/>
  <c r="AM54" i="12"/>
  <c r="AM55" i="12"/>
  <c r="AL128" i="12"/>
  <c r="AL130" i="12"/>
  <c r="AL129" i="12"/>
  <c r="AM328" i="12"/>
  <c r="AL319" i="12"/>
  <c r="AK318" i="12"/>
  <c r="AJ307" i="12"/>
  <c r="AK308" i="12"/>
  <c r="AJ302" i="12"/>
  <c r="AK303" i="12"/>
  <c r="AK291" i="12"/>
  <c r="AL292" i="12"/>
  <c r="AL293" i="12" s="1"/>
  <c r="AL286" i="12"/>
  <c r="AK285" i="12"/>
  <c r="AK325" i="12"/>
  <c r="AL326" i="12"/>
  <c r="AK269" i="12"/>
  <c r="AL270" i="12"/>
  <c r="AL276" i="12"/>
  <c r="AK275" i="12"/>
  <c r="AL259" i="12"/>
  <c r="AL260" i="12" s="1"/>
  <c r="AK258" i="12"/>
  <c r="AL253" i="12"/>
  <c r="AK252" i="12"/>
  <c r="AK235" i="12"/>
  <c r="AL236" i="12"/>
  <c r="AK226" i="12"/>
  <c r="AL227" i="12"/>
  <c r="AK215" i="12"/>
  <c r="AL216" i="12"/>
  <c r="AK208" i="12"/>
  <c r="AL209" i="12"/>
  <c r="AK188" i="12"/>
  <c r="AL189" i="12"/>
  <c r="AL181" i="12"/>
  <c r="AK180" i="12"/>
  <c r="AL166" i="12"/>
  <c r="AK165" i="12"/>
  <c r="AK160" i="12"/>
  <c r="AL161" i="12"/>
  <c r="AL162" i="12" s="1"/>
  <c r="AL151" i="12"/>
  <c r="AK150" i="12"/>
  <c r="AL145" i="12"/>
  <c r="AL146" i="12" s="1"/>
  <c r="AK144" i="12"/>
  <c r="AK127" i="12"/>
  <c r="AJ126" i="12"/>
  <c r="AL133" i="12"/>
  <c r="AK132" i="12"/>
  <c r="AK109" i="12"/>
  <c r="AJ108" i="12"/>
  <c r="AK114" i="12"/>
  <c r="AL115" i="12"/>
  <c r="AL96" i="12"/>
  <c r="AK95" i="12"/>
  <c r="AL89" i="12"/>
  <c r="AL90" i="12" s="1"/>
  <c r="AK88" i="12"/>
  <c r="AL71" i="12"/>
  <c r="AK70" i="12"/>
  <c r="AK76" i="12"/>
  <c r="AL77" i="12"/>
  <c r="AK58" i="12"/>
  <c r="AL59" i="12"/>
  <c r="AK52" i="12"/>
  <c r="AL53" i="12"/>
  <c r="AL40" i="12"/>
  <c r="AK39" i="12"/>
  <c r="AL34" i="12"/>
  <c r="AL35" i="12" s="1"/>
  <c r="AK33" i="12"/>
  <c r="AL21" i="12"/>
  <c r="AK20" i="12"/>
  <c r="AK14" i="12"/>
  <c r="AK15" i="12" s="1"/>
  <c r="AU67" i="6" l="1"/>
  <c r="AU74" i="6" s="1"/>
  <c r="AV28" i="6"/>
  <c r="AP88" i="6"/>
  <c r="AT88" i="6"/>
  <c r="AQ87" i="6"/>
  <c r="AQ54" i="6"/>
  <c r="AR54" i="6"/>
  <c r="AQ79" i="6"/>
  <c r="AG2" i="9"/>
  <c r="AF2" i="10"/>
  <c r="AF2" i="6" s="1"/>
  <c r="AK128" i="12"/>
  <c r="AK129" i="12"/>
  <c r="AK130" i="12"/>
  <c r="AL328" i="12"/>
  <c r="AL54" i="12"/>
  <c r="AL55" i="12"/>
  <c r="AJ318" i="12"/>
  <c r="AK319" i="12"/>
  <c r="AJ308" i="12"/>
  <c r="AI307" i="12"/>
  <c r="AJ303" i="12"/>
  <c r="AI302" i="12"/>
  <c r="AJ291" i="12"/>
  <c r="AK292" i="12"/>
  <c r="AK293" i="12" s="1"/>
  <c r="AJ285" i="12"/>
  <c r="AK286" i="12"/>
  <c r="AJ325" i="12"/>
  <c r="AK326" i="12"/>
  <c r="AJ269" i="12"/>
  <c r="AK270" i="12"/>
  <c r="AJ275" i="12"/>
  <c r="AK276" i="12"/>
  <c r="AJ258" i="12"/>
  <c r="AK259" i="12"/>
  <c r="AK260" i="12" s="1"/>
  <c r="AJ252" i="12"/>
  <c r="AK253" i="12"/>
  <c r="AJ235" i="12"/>
  <c r="AK236" i="12"/>
  <c r="AK227" i="12"/>
  <c r="AJ226" i="12"/>
  <c r="AK216" i="12"/>
  <c r="AJ215" i="12"/>
  <c r="AK209" i="12"/>
  <c r="AJ208" i="12"/>
  <c r="AJ188" i="12"/>
  <c r="AK189" i="12"/>
  <c r="AJ180" i="12"/>
  <c r="AK181" i="12"/>
  <c r="AK166" i="12"/>
  <c r="AJ165" i="12"/>
  <c r="AJ160" i="12"/>
  <c r="AK161" i="12"/>
  <c r="AK162" i="12" s="1"/>
  <c r="AJ150" i="12"/>
  <c r="AK151" i="12"/>
  <c r="AJ144" i="12"/>
  <c r="AK145" i="12"/>
  <c r="AK146" i="12" s="1"/>
  <c r="AJ132" i="12"/>
  <c r="AK133" i="12"/>
  <c r="AJ127" i="12"/>
  <c r="AI126" i="12"/>
  <c r="AJ114" i="12"/>
  <c r="AK115" i="12"/>
  <c r="AJ109" i="12"/>
  <c r="AI108" i="12"/>
  <c r="AJ95" i="12"/>
  <c r="AK96" i="12"/>
  <c r="AJ88" i="12"/>
  <c r="AK89" i="12"/>
  <c r="AK90" i="12" s="1"/>
  <c r="AK71" i="12"/>
  <c r="AJ70" i="12"/>
  <c r="AK77" i="12"/>
  <c r="AJ76" i="12"/>
  <c r="AK59" i="12"/>
  <c r="AJ58" i="12"/>
  <c r="AK53" i="12"/>
  <c r="AJ52" i="12"/>
  <c r="AK34" i="12"/>
  <c r="AK35" i="12" s="1"/>
  <c r="AJ33" i="12"/>
  <c r="AK40" i="12"/>
  <c r="AJ39" i="12"/>
  <c r="AJ20" i="12"/>
  <c r="AK21" i="12"/>
  <c r="AJ14" i="12"/>
  <c r="AJ15" i="12" s="1"/>
  <c r="AV67" i="6" l="1"/>
  <c r="AV74" i="6" s="1"/>
  <c r="AW28" i="6"/>
  <c r="AQ88" i="6"/>
  <c r="AU88" i="6"/>
  <c r="AH2" i="9"/>
  <c r="AG2" i="10"/>
  <c r="AG2" i="6" s="1"/>
  <c r="AK328" i="12"/>
  <c r="AK55" i="12"/>
  <c r="AK54" i="12"/>
  <c r="AJ128" i="12"/>
  <c r="AJ130" i="12"/>
  <c r="AJ129" i="12"/>
  <c r="AJ319" i="12"/>
  <c r="AI318" i="12"/>
  <c r="AI308" i="12"/>
  <c r="AH307" i="12"/>
  <c r="AI303" i="12"/>
  <c r="AH302" i="12"/>
  <c r="AJ292" i="12"/>
  <c r="AJ293" i="12" s="1"/>
  <c r="AI291" i="12"/>
  <c r="AJ286" i="12"/>
  <c r="AI285" i="12"/>
  <c r="AJ326" i="12"/>
  <c r="AI325" i="12"/>
  <c r="AJ270" i="12"/>
  <c r="AI269" i="12"/>
  <c r="AJ276" i="12"/>
  <c r="AI275" i="12"/>
  <c r="AJ259" i="12"/>
  <c r="AJ260" i="12" s="1"/>
  <c r="AI258" i="12"/>
  <c r="AJ253" i="12"/>
  <c r="AI252" i="12"/>
  <c r="AJ236" i="12"/>
  <c r="AI235" i="12"/>
  <c r="AJ227" i="12"/>
  <c r="AI226" i="12"/>
  <c r="AJ216" i="12"/>
  <c r="AI215" i="12"/>
  <c r="AJ209" i="12"/>
  <c r="AI208" i="12"/>
  <c r="AJ189" i="12"/>
  <c r="AI188" i="12"/>
  <c r="AJ181" i="12"/>
  <c r="AI180" i="12"/>
  <c r="AI165" i="12"/>
  <c r="AJ166" i="12"/>
  <c r="AI160" i="12"/>
  <c r="AJ161" i="12"/>
  <c r="AJ162" i="12" s="1"/>
  <c r="AJ151" i="12"/>
  <c r="AI150" i="12"/>
  <c r="AJ145" i="12"/>
  <c r="AJ146" i="12" s="1"/>
  <c r="AI144" i="12"/>
  <c r="AH126" i="12"/>
  <c r="AI127" i="12"/>
  <c r="AJ133" i="12"/>
  <c r="AI132" i="12"/>
  <c r="AJ115" i="12"/>
  <c r="AI114" i="12"/>
  <c r="AI109" i="12"/>
  <c r="AH108" i="12"/>
  <c r="AJ96" i="12"/>
  <c r="AI95" i="12"/>
  <c r="AJ89" i="12"/>
  <c r="AJ90" i="12" s="1"/>
  <c r="AI88" i="12"/>
  <c r="AJ71" i="12"/>
  <c r="AI70" i="12"/>
  <c r="AJ77" i="12"/>
  <c r="AI76" i="12"/>
  <c r="AI58" i="12"/>
  <c r="AJ59" i="12"/>
  <c r="AJ53" i="12"/>
  <c r="AI52" i="12"/>
  <c r="AJ34" i="12"/>
  <c r="AJ35" i="12" s="1"/>
  <c r="AI33" i="12"/>
  <c r="AJ40" i="12"/>
  <c r="AI39" i="12"/>
  <c r="AJ21" i="12"/>
  <c r="AI20" i="12"/>
  <c r="AI14" i="12"/>
  <c r="AI15" i="12" s="1"/>
  <c r="AW67" i="6" l="1"/>
  <c r="AW74" i="6" s="1"/>
  <c r="AX28" i="6"/>
  <c r="AI2" i="9"/>
  <c r="AH2" i="10"/>
  <c r="AH2" i="6" s="1"/>
  <c r="AJ328" i="12"/>
  <c r="AJ54" i="12"/>
  <c r="AJ55" i="12"/>
  <c r="AI128" i="12"/>
  <c r="AI130" i="12"/>
  <c r="AI129" i="12"/>
  <c r="AI319" i="12"/>
  <c r="AH318" i="12"/>
  <c r="AH308" i="12"/>
  <c r="AG307" i="12"/>
  <c r="AH303" i="12"/>
  <c r="AG302" i="12"/>
  <c r="AI292" i="12"/>
  <c r="AI293" i="12" s="1"/>
  <c r="AH291" i="12"/>
  <c r="AI286" i="12"/>
  <c r="AH285" i="12"/>
  <c r="AI326" i="12"/>
  <c r="AH325" i="12"/>
  <c r="AH269" i="12"/>
  <c r="AI270" i="12"/>
  <c r="AI276" i="12"/>
  <c r="AH275" i="12"/>
  <c r="AI259" i="12"/>
  <c r="AI260" i="12" s="1"/>
  <c r="AH258" i="12"/>
  <c r="AI253" i="12"/>
  <c r="AH252" i="12"/>
  <c r="AI236" i="12"/>
  <c r="AH235" i="12"/>
  <c r="AI227" i="12"/>
  <c r="AH226" i="12"/>
  <c r="AH215" i="12"/>
  <c r="AI216" i="12"/>
  <c r="AH208" i="12"/>
  <c r="AI209" i="12"/>
  <c r="AI189" i="12"/>
  <c r="AH188" i="12"/>
  <c r="AH180" i="12"/>
  <c r="AI181" i="12"/>
  <c r="AI166" i="12"/>
  <c r="AH165" i="12"/>
  <c r="AI161" i="12"/>
  <c r="AI162" i="12" s="1"/>
  <c r="AH160" i="12"/>
  <c r="AH150" i="12"/>
  <c r="AI151" i="12"/>
  <c r="AI145" i="12"/>
  <c r="AI146" i="12" s="1"/>
  <c r="AH144" i="12"/>
  <c r="AI133" i="12"/>
  <c r="AH132" i="12"/>
  <c r="AG126" i="12"/>
  <c r="AH127" i="12"/>
  <c r="AI115" i="12"/>
  <c r="AH114" i="12"/>
  <c r="AG108" i="12"/>
  <c r="AH109" i="12"/>
  <c r="AH95" i="12"/>
  <c r="AI96" i="12"/>
  <c r="AI89" i="12"/>
  <c r="AI90" i="12" s="1"/>
  <c r="AH88" i="12"/>
  <c r="AI77" i="12"/>
  <c r="AH76" i="12"/>
  <c r="AI71" i="12"/>
  <c r="AH70" i="12"/>
  <c r="AH58" i="12"/>
  <c r="AI59" i="12"/>
  <c r="AI53" i="12"/>
  <c r="AH52" i="12"/>
  <c r="AI34" i="12"/>
  <c r="AI35" i="12" s="1"/>
  <c r="AH33" i="12"/>
  <c r="AI40" i="12"/>
  <c r="AH39" i="12"/>
  <c r="AI21" i="12"/>
  <c r="AH20" i="12"/>
  <c r="AH14" i="12"/>
  <c r="AH15" i="12" s="1"/>
  <c r="AX67" i="6" l="1"/>
  <c r="AX74" i="6" s="1"/>
  <c r="AY28" i="6"/>
  <c r="AJ2" i="9"/>
  <c r="AI2" i="10"/>
  <c r="AI2" i="6" s="1"/>
  <c r="AH128" i="12"/>
  <c r="AH130" i="12"/>
  <c r="AH129" i="12"/>
  <c r="AI328" i="12"/>
  <c r="AI55" i="12"/>
  <c r="AI54" i="12"/>
  <c r="AH319" i="12"/>
  <c r="AG318" i="12"/>
  <c r="AF307" i="12"/>
  <c r="AG308" i="12"/>
  <c r="AF302" i="12"/>
  <c r="AG303" i="12"/>
  <c r="AH292" i="12"/>
  <c r="AH293" i="12" s="1"/>
  <c r="AG291" i="12"/>
  <c r="AH286" i="12"/>
  <c r="AG285" i="12"/>
  <c r="AH326" i="12"/>
  <c r="AG325" i="12"/>
  <c r="AH270" i="12"/>
  <c r="AG269" i="12"/>
  <c r="AH276" i="12"/>
  <c r="AG275" i="12"/>
  <c r="AG258" i="12"/>
  <c r="AH259" i="12"/>
  <c r="AH260" i="12" s="1"/>
  <c r="AH253" i="12"/>
  <c r="AG252" i="12"/>
  <c r="AH236" i="12"/>
  <c r="AG235" i="12"/>
  <c r="AG226" i="12"/>
  <c r="AH227" i="12"/>
  <c r="AG215" i="12"/>
  <c r="AH216" i="12"/>
  <c r="AG208" i="12"/>
  <c r="AH209" i="12"/>
  <c r="AH189" i="12"/>
  <c r="AG188" i="12"/>
  <c r="AH181" i="12"/>
  <c r="AG180" i="12"/>
  <c r="AG165" i="12"/>
  <c r="AH166" i="12"/>
  <c r="AH161" i="12"/>
  <c r="AH162" i="12" s="1"/>
  <c r="AG160" i="12"/>
  <c r="AG150" i="12"/>
  <c r="AH151" i="12"/>
  <c r="AH145" i="12"/>
  <c r="AH146" i="12" s="1"/>
  <c r="AG144" i="12"/>
  <c r="AG127" i="12"/>
  <c r="AF126" i="12"/>
  <c r="AG132" i="12"/>
  <c r="AH133" i="12"/>
  <c r="AG109" i="12"/>
  <c r="AF108" i="12"/>
  <c r="AH115" i="12"/>
  <c r="AG114" i="12"/>
  <c r="AH96" i="12"/>
  <c r="AG95" i="12"/>
  <c r="AH89" i="12"/>
  <c r="AH90" i="12" s="1"/>
  <c r="AG88" i="12"/>
  <c r="AH71" i="12"/>
  <c r="AG70" i="12"/>
  <c r="AG76" i="12"/>
  <c r="AH77" i="12"/>
  <c r="AG58" i="12"/>
  <c r="AH59" i="12"/>
  <c r="AG52" i="12"/>
  <c r="AH53" i="12"/>
  <c r="AH40" i="12"/>
  <c r="AG39" i="12"/>
  <c r="AH34" i="12"/>
  <c r="AH35" i="12" s="1"/>
  <c r="AG33" i="12"/>
  <c r="AH21" i="12"/>
  <c r="AG20" i="12"/>
  <c r="AG14" i="12"/>
  <c r="AG15" i="12" s="1"/>
  <c r="AY67" i="6" l="1"/>
  <c r="AY74" i="6" s="1"/>
  <c r="AZ28" i="6"/>
  <c r="AK2" i="9"/>
  <c r="AJ2" i="10"/>
  <c r="AJ2" i="6" s="1"/>
  <c r="AH54" i="12"/>
  <c r="AH55" i="12"/>
  <c r="AH328" i="12"/>
  <c r="AG128" i="12"/>
  <c r="AG129" i="12"/>
  <c r="AG130" i="12"/>
  <c r="AF318" i="12"/>
  <c r="AG319" i="12"/>
  <c r="AF308" i="12"/>
  <c r="AE307" i="12"/>
  <c r="AF303" i="12"/>
  <c r="AE302" i="12"/>
  <c r="AF291" i="12"/>
  <c r="AG292" i="12"/>
  <c r="AG293" i="12" s="1"/>
  <c r="AF285" i="12"/>
  <c r="AG286" i="12"/>
  <c r="AF325" i="12"/>
  <c r="AG326" i="12"/>
  <c r="AF269" i="12"/>
  <c r="AG270" i="12"/>
  <c r="AF275" i="12"/>
  <c r="AG276" i="12"/>
  <c r="AF258" i="12"/>
  <c r="AG259" i="12"/>
  <c r="AG260" i="12" s="1"/>
  <c r="AF252" i="12"/>
  <c r="AG253" i="12"/>
  <c r="AF235" i="12"/>
  <c r="AG236" i="12"/>
  <c r="AG227" i="12"/>
  <c r="AF226" i="12"/>
  <c r="AG216" i="12"/>
  <c r="AF215" i="12"/>
  <c r="AG209" i="12"/>
  <c r="AF208" i="12"/>
  <c r="AG189" i="12"/>
  <c r="AF188" i="12"/>
  <c r="AF180" i="12"/>
  <c r="AG181" i="12"/>
  <c r="AF165" i="12"/>
  <c r="AG166" i="12"/>
  <c r="AG161" i="12"/>
  <c r="AG162" i="12" s="1"/>
  <c r="AF160" i="12"/>
  <c r="AG151" i="12"/>
  <c r="AF150" i="12"/>
  <c r="AF144" i="12"/>
  <c r="AG145" i="12"/>
  <c r="AG146" i="12" s="1"/>
  <c r="AF132" i="12"/>
  <c r="AG133" i="12"/>
  <c r="AF127" i="12"/>
  <c r="AE126" i="12"/>
  <c r="AF109" i="12"/>
  <c r="AE108" i="12"/>
  <c r="AF114" i="12"/>
  <c r="AG115" i="12"/>
  <c r="AF95" i="12"/>
  <c r="AG96" i="12"/>
  <c r="AF88" i="12"/>
  <c r="AG89" i="12"/>
  <c r="AG90" i="12" s="1"/>
  <c r="AG71" i="12"/>
  <c r="AF70" i="12"/>
  <c r="AG77" i="12"/>
  <c r="AF76" i="12"/>
  <c r="AG59" i="12"/>
  <c r="AF58" i="12"/>
  <c r="AG53" i="12"/>
  <c r="AF52" i="12"/>
  <c r="AG34" i="12"/>
  <c r="AG35" i="12" s="1"/>
  <c r="AF33" i="12"/>
  <c r="AG40" i="12"/>
  <c r="AF39" i="12"/>
  <c r="AF20" i="12"/>
  <c r="AG21" i="12"/>
  <c r="AF14" i="12"/>
  <c r="AF15" i="12" s="1"/>
  <c r="AZ67" i="6" l="1"/>
  <c r="AZ74" i="6" s="1"/>
  <c r="BA28" i="6"/>
  <c r="BA67" i="6" s="1"/>
  <c r="BA74" i="6" s="1"/>
  <c r="AL2" i="9"/>
  <c r="AK2" i="10"/>
  <c r="AK2" i="6" s="1"/>
  <c r="AG328" i="12"/>
  <c r="AG54" i="12"/>
  <c r="AG55" i="12"/>
  <c r="AF128" i="12"/>
  <c r="AF130" i="12"/>
  <c r="AF129" i="12"/>
  <c r="AF319" i="12"/>
  <c r="AE318" i="12"/>
  <c r="AE308" i="12"/>
  <c r="AD307" i="12"/>
  <c r="AE303" i="12"/>
  <c r="AD302" i="12"/>
  <c r="AF292" i="12"/>
  <c r="AF293" i="12" s="1"/>
  <c r="AE291" i="12"/>
  <c r="AF286" i="12"/>
  <c r="AE285" i="12"/>
  <c r="AF326" i="12"/>
  <c r="AE325" i="12"/>
  <c r="AF270" i="12"/>
  <c r="AE269" i="12"/>
  <c r="AF276" i="12"/>
  <c r="AE275" i="12"/>
  <c r="AF259" i="12"/>
  <c r="AF260" i="12" s="1"/>
  <c r="AE258" i="12"/>
  <c r="AF253" i="12"/>
  <c r="AE252" i="12"/>
  <c r="AF236" i="12"/>
  <c r="AE235" i="12"/>
  <c r="AE226" i="12"/>
  <c r="AF227" i="12"/>
  <c r="AF216" i="12"/>
  <c r="AE215" i="12"/>
  <c r="AF209" i="12"/>
  <c r="AE208" i="12"/>
  <c r="AF189" i="12"/>
  <c r="AE188" i="12"/>
  <c r="AF181" i="12"/>
  <c r="AE180" i="12"/>
  <c r="AF166" i="12"/>
  <c r="AE165" i="12"/>
  <c r="AF161" i="12"/>
  <c r="AF162" i="12" s="1"/>
  <c r="AE160" i="12"/>
  <c r="AF151" i="12"/>
  <c r="AE150" i="12"/>
  <c r="AF145" i="12"/>
  <c r="AF146" i="12" s="1"/>
  <c r="AE144" i="12"/>
  <c r="AF133" i="12"/>
  <c r="AE132" i="12"/>
  <c r="AD126" i="12"/>
  <c r="AE127" i="12"/>
  <c r="AD108" i="12"/>
  <c r="AE109" i="12"/>
  <c r="AF115" i="12"/>
  <c r="AE114" i="12"/>
  <c r="AF96" i="12"/>
  <c r="AE95" i="12"/>
  <c r="AF89" i="12"/>
  <c r="AF90" i="12" s="1"/>
  <c r="AE88" i="12"/>
  <c r="AF77" i="12"/>
  <c r="AE76" i="12"/>
  <c r="AF71" i="12"/>
  <c r="AE70" i="12"/>
  <c r="AE58" i="12"/>
  <c r="AF59" i="12"/>
  <c r="AF53" i="12"/>
  <c r="AE52" i="12"/>
  <c r="AF40" i="12"/>
  <c r="AE39" i="12"/>
  <c r="AF34" i="12"/>
  <c r="AF35" i="12" s="1"/>
  <c r="AE33" i="12"/>
  <c r="AF21" i="12"/>
  <c r="AE20" i="12"/>
  <c r="AE14" i="12"/>
  <c r="AE15" i="12" s="1"/>
  <c r="AM2" i="9" l="1"/>
  <c r="AL2" i="10"/>
  <c r="AL2" i="6" s="1"/>
  <c r="AE128" i="12"/>
  <c r="AE129" i="12"/>
  <c r="AE130" i="12"/>
  <c r="AF328" i="12"/>
  <c r="AF54" i="12"/>
  <c r="AF55" i="12"/>
  <c r="AE319" i="12"/>
  <c r="AD318" i="12"/>
  <c r="AC307" i="12"/>
  <c r="AD308" i="12"/>
  <c r="AC302" i="12"/>
  <c r="AD303" i="12"/>
  <c r="AE292" i="12"/>
  <c r="AE293" i="12" s="1"/>
  <c r="AD291" i="12"/>
  <c r="AE286" i="12"/>
  <c r="AD285" i="12"/>
  <c r="AE326" i="12"/>
  <c r="AD325" i="12"/>
  <c r="AE270" i="12"/>
  <c r="AD269" i="12"/>
  <c r="AE276" i="12"/>
  <c r="AD275" i="12"/>
  <c r="AE259" i="12"/>
  <c r="AD258" i="12"/>
  <c r="AE253" i="12"/>
  <c r="AD252" i="12"/>
  <c r="AD235" i="12"/>
  <c r="AE236" i="12"/>
  <c r="AE227" i="12"/>
  <c r="AD226" i="12"/>
  <c r="AE216" i="12"/>
  <c r="AD215" i="12"/>
  <c r="AD208" i="12"/>
  <c r="AE209" i="12"/>
  <c r="AE189" i="12"/>
  <c r="AD188" i="12"/>
  <c r="AD180" i="12"/>
  <c r="AE181" i="12"/>
  <c r="AE166" i="12"/>
  <c r="AD165" i="12"/>
  <c r="AD160" i="12"/>
  <c r="AE161" i="12"/>
  <c r="AE162" i="12" s="1"/>
  <c r="AE151" i="12"/>
  <c r="AD150" i="12"/>
  <c r="AE145" i="12"/>
  <c r="AE146" i="12" s="1"/>
  <c r="AD144" i="12"/>
  <c r="AE133" i="12"/>
  <c r="AD132" i="12"/>
  <c r="AC126" i="12"/>
  <c r="AD127" i="12"/>
  <c r="AE115" i="12"/>
  <c r="AD114" i="12"/>
  <c r="AC108" i="12"/>
  <c r="AD109" i="12"/>
  <c r="AD95" i="12"/>
  <c r="AE96" i="12"/>
  <c r="AE89" i="12"/>
  <c r="AE90" i="12" s="1"/>
  <c r="AD88" i="12"/>
  <c r="AE71" i="12"/>
  <c r="AD70" i="12"/>
  <c r="AE77" i="12"/>
  <c r="AD76" i="12"/>
  <c r="AD58" i="12"/>
  <c r="AE59" i="12"/>
  <c r="AD52" i="12"/>
  <c r="AE53" i="12"/>
  <c r="AE34" i="12"/>
  <c r="AE35" i="12" s="1"/>
  <c r="AD33" i="12"/>
  <c r="AE40" i="12"/>
  <c r="AD39" i="12"/>
  <c r="AE21" i="12"/>
  <c r="AD20" i="12"/>
  <c r="AD14" i="12"/>
  <c r="AD15" i="12" s="1"/>
  <c r="AN2" i="9" l="1"/>
  <c r="AM2" i="10"/>
  <c r="AM2" i="6" s="1"/>
  <c r="AE54" i="12"/>
  <c r="AE55" i="12"/>
  <c r="AD128" i="12"/>
  <c r="AD130" i="12"/>
  <c r="AD129" i="12"/>
  <c r="AE328" i="12"/>
  <c r="AD319" i="12"/>
  <c r="AC318" i="12"/>
  <c r="AB307" i="12"/>
  <c r="AB308" i="12" s="1"/>
  <c r="AC308" i="12"/>
  <c r="AB302" i="12"/>
  <c r="AB303" i="12" s="1"/>
  <c r="AC303" i="12"/>
  <c r="AC291" i="12"/>
  <c r="AD292" i="12"/>
  <c r="AD293" i="12" s="1"/>
  <c r="AD286" i="12"/>
  <c r="AC285" i="12"/>
  <c r="AC325" i="12"/>
  <c r="AD326" i="12"/>
  <c r="AC269" i="12"/>
  <c r="AD270" i="12"/>
  <c r="AC275" i="12"/>
  <c r="AD276" i="12"/>
  <c r="AD259" i="12"/>
  <c r="AC258" i="12"/>
  <c r="AD253" i="12"/>
  <c r="AC252" i="12"/>
  <c r="AC235" i="12"/>
  <c r="AD236" i="12"/>
  <c r="AC226" i="12"/>
  <c r="AD227" i="12"/>
  <c r="AC215" i="12"/>
  <c r="AD216" i="12"/>
  <c r="AC208" i="12"/>
  <c r="AD209" i="12"/>
  <c r="AC188" i="12"/>
  <c r="AD189" i="12"/>
  <c r="AC180" i="12"/>
  <c r="AD181" i="12"/>
  <c r="AC165" i="12"/>
  <c r="AD166" i="12"/>
  <c r="AC160" i="12"/>
  <c r="AD161" i="12"/>
  <c r="AD162" i="12" s="1"/>
  <c r="AD151" i="12"/>
  <c r="AC150" i="12"/>
  <c r="AD145" i="12"/>
  <c r="AD146" i="12" s="1"/>
  <c r="AC144" i="12"/>
  <c r="AC132" i="12"/>
  <c r="AD133" i="12"/>
  <c r="AC127" i="12"/>
  <c r="AB126" i="12"/>
  <c r="AB127" i="12" s="1"/>
  <c r="AC109" i="12"/>
  <c r="AB108" i="12"/>
  <c r="AB109" i="12" s="1"/>
  <c r="AC114" i="12"/>
  <c r="AD115" i="12"/>
  <c r="AD96" i="12"/>
  <c r="AC95" i="12"/>
  <c r="AD89" i="12"/>
  <c r="AD90" i="12" s="1"/>
  <c r="AC88" i="12"/>
  <c r="AC76" i="12"/>
  <c r="AD77" i="12"/>
  <c r="AD71" i="12"/>
  <c r="AC70" i="12"/>
  <c r="AC58" i="12"/>
  <c r="AD59" i="12"/>
  <c r="AD53" i="12"/>
  <c r="AC52" i="12"/>
  <c r="AD34" i="12"/>
  <c r="AD35" i="12" s="1"/>
  <c r="AC33" i="12"/>
  <c r="AD40" i="12"/>
  <c r="AC39" i="12"/>
  <c r="AD21" i="12"/>
  <c r="AC20" i="12"/>
  <c r="AC14" i="12"/>
  <c r="AC15" i="12" s="1"/>
  <c r="AO2" i="9" l="1"/>
  <c r="AN2" i="10"/>
  <c r="AN2" i="6" s="1"/>
  <c r="AD328" i="12"/>
  <c r="AB128" i="12"/>
  <c r="AB130" i="12"/>
  <c r="AB129" i="12"/>
  <c r="AC128" i="12"/>
  <c r="AC129" i="12"/>
  <c r="AC130" i="12"/>
  <c r="AD54" i="12"/>
  <c r="AD55" i="12"/>
  <c r="AB318" i="12"/>
  <c r="AB319" i="12" s="1"/>
  <c r="AC319" i="12"/>
  <c r="AB291" i="12"/>
  <c r="AB292" i="12" s="1"/>
  <c r="AB293" i="12" s="1"/>
  <c r="AC292" i="12"/>
  <c r="AC293" i="12" s="1"/>
  <c r="AB285" i="12"/>
  <c r="AB286" i="12" s="1"/>
  <c r="AC286" i="12"/>
  <c r="AB325" i="12"/>
  <c r="AB326" i="12" s="1"/>
  <c r="AC326" i="12"/>
  <c r="AB269" i="12"/>
  <c r="AB270" i="12" s="1"/>
  <c r="AC270" i="12"/>
  <c r="AB275" i="12"/>
  <c r="AB276" i="12" s="1"/>
  <c r="AC276" i="12"/>
  <c r="AB258" i="12"/>
  <c r="AB259" i="12" s="1"/>
  <c r="AC259" i="12"/>
  <c r="AB252" i="12"/>
  <c r="AB253" i="12" s="1"/>
  <c r="AC253" i="12"/>
  <c r="AB235" i="12"/>
  <c r="AB236" i="12" s="1"/>
  <c r="AC236" i="12"/>
  <c r="AC227" i="12"/>
  <c r="AB226" i="12"/>
  <c r="AB227" i="12" s="1"/>
  <c r="AC216" i="12"/>
  <c r="AB215" i="12"/>
  <c r="AB216" i="12" s="1"/>
  <c r="AC209" i="12"/>
  <c r="AB208" i="12"/>
  <c r="AB209" i="12" s="1"/>
  <c r="AB188" i="12"/>
  <c r="AB189" i="12" s="1"/>
  <c r="AC189" i="12"/>
  <c r="AB180" i="12"/>
  <c r="AB181" i="12" s="1"/>
  <c r="AC181" i="12"/>
  <c r="AC166" i="12"/>
  <c r="AB165" i="12"/>
  <c r="AB166" i="12" s="1"/>
  <c r="AB160" i="12"/>
  <c r="AB161" i="12" s="1"/>
  <c r="AB162" i="12" s="1"/>
  <c r="AC161" i="12"/>
  <c r="AC162" i="12" s="1"/>
  <c r="AC151" i="12"/>
  <c r="AB150" i="12"/>
  <c r="AB151" i="12" s="1"/>
  <c r="AB144" i="12"/>
  <c r="AB145" i="12" s="1"/>
  <c r="AB146" i="12" s="1"/>
  <c r="AC145" i="12"/>
  <c r="AC146" i="12" s="1"/>
  <c r="AB132" i="12"/>
  <c r="AB133" i="12" s="1"/>
  <c r="AC133" i="12"/>
  <c r="AB114" i="12"/>
  <c r="AB115" i="12" s="1"/>
  <c r="AC115" i="12"/>
  <c r="AB95" i="12"/>
  <c r="AB96" i="12" s="1"/>
  <c r="AC96" i="12"/>
  <c r="AB88" i="12"/>
  <c r="AB89" i="12" s="1"/>
  <c r="AB90" i="12" s="1"/>
  <c r="AC89" i="12"/>
  <c r="AC90" i="12" s="1"/>
  <c r="AB70" i="12"/>
  <c r="AB71" i="12" s="1"/>
  <c r="AC71" i="12"/>
  <c r="AC77" i="12"/>
  <c r="AB76" i="12"/>
  <c r="AB77" i="12" s="1"/>
  <c r="AC59" i="12"/>
  <c r="AB58" i="12"/>
  <c r="AB59" i="12" s="1"/>
  <c r="AC53" i="12"/>
  <c r="AB52" i="12"/>
  <c r="AB53" i="12" s="1"/>
  <c r="AC34" i="12"/>
  <c r="AC35" i="12" s="1"/>
  <c r="AB33" i="12"/>
  <c r="AB34" i="12" s="1"/>
  <c r="AB35" i="12" s="1"/>
  <c r="AC40" i="12"/>
  <c r="AB39" i="12"/>
  <c r="AB40" i="12" s="1"/>
  <c r="AB20" i="12"/>
  <c r="AB21" i="12" s="1"/>
  <c r="AC21" i="12"/>
  <c r="AB14" i="12"/>
  <c r="AB15" i="12" s="1"/>
  <c r="AP2" i="9" l="1"/>
  <c r="AO2" i="10"/>
  <c r="AO2" i="6" s="1"/>
  <c r="AC328" i="12"/>
  <c r="AB54" i="12"/>
  <c r="AB55" i="12"/>
  <c r="AB328" i="12"/>
  <c r="AC55" i="12"/>
  <c r="AC54" i="12"/>
  <c r="AQ2" i="9" l="1"/>
  <c r="AP2" i="10"/>
  <c r="AP2" i="6" s="1"/>
  <c r="AF10" i="6"/>
  <c r="AJ79" i="6" s="1"/>
  <c r="AF42" i="6"/>
  <c r="AF47" i="6"/>
  <c r="AF48" i="6"/>
  <c r="AF49" i="6"/>
  <c r="AF51" i="6"/>
  <c r="AF53" i="6"/>
  <c r="AF55" i="6"/>
  <c r="AF56" i="6"/>
  <c r="AF58" i="6"/>
  <c r="AF59" i="6"/>
  <c r="AF61" i="6"/>
  <c r="AF62" i="6"/>
  <c r="AF67" i="6"/>
  <c r="AJ74" i="6" s="1"/>
  <c r="AF85" i="6"/>
  <c r="AF90" i="6"/>
  <c r="AF91" i="6"/>
  <c r="AF94" i="6"/>
  <c r="AF95" i="6"/>
  <c r="AF45" i="6"/>
  <c r="AF9" i="10"/>
  <c r="AF18" i="10"/>
  <c r="AF19" i="10"/>
  <c r="AU287" i="12" s="1"/>
  <c r="AF20" i="10"/>
  <c r="AF29" i="10"/>
  <c r="AF54" i="9"/>
  <c r="AF56" i="9"/>
  <c r="AF61" i="9"/>
  <c r="AF88" i="9"/>
  <c r="AF94" i="9"/>
  <c r="AF117" i="9"/>
  <c r="AS22" i="12" s="1"/>
  <c r="AF118" i="9"/>
  <c r="AF126" i="9"/>
  <c r="AF128" i="9"/>
  <c r="AF129" i="9"/>
  <c r="AF130" i="9"/>
  <c r="AS217" i="12"/>
  <c r="AF136" i="9"/>
  <c r="AF138" i="9"/>
  <c r="AF139" i="9"/>
  <c r="AS220" i="12" s="1"/>
  <c r="AF140" i="9"/>
  <c r="AS221" i="12" s="1"/>
  <c r="AS222" i="12"/>
  <c r="AR2" i="9" l="1"/>
  <c r="AQ2" i="10"/>
  <c r="AQ2" i="6" s="1"/>
  <c r="AG26" i="10"/>
  <c r="AF25" i="10"/>
  <c r="AJ25" i="10"/>
  <c r="AJ43" i="6"/>
  <c r="AJ84" i="6"/>
  <c r="AG96" i="9"/>
  <c r="AJ95" i="9"/>
  <c r="AU304" i="12"/>
  <c r="AJ31" i="10"/>
  <c r="AS210" i="12"/>
  <c r="AU60" i="12"/>
  <c r="AS60" i="12"/>
  <c r="AU169" i="12"/>
  <c r="AS169" i="12"/>
  <c r="AU168" i="12"/>
  <c r="AS168" i="12"/>
  <c r="AS237" i="12"/>
  <c r="AS219" i="12"/>
  <c r="AU135" i="12"/>
  <c r="AS135" i="12"/>
  <c r="AU152" i="12"/>
  <c r="AS152" i="12"/>
  <c r="AS218" i="12"/>
  <c r="AS228" i="12"/>
  <c r="AU167" i="12"/>
  <c r="AS167" i="12"/>
  <c r="AU271" i="12"/>
  <c r="AS271" i="12"/>
  <c r="AU190" i="12"/>
  <c r="AS190" i="12"/>
  <c r="AU134" i="12"/>
  <c r="AS134" i="12"/>
  <c r="AU97" i="12"/>
  <c r="AS97" i="12"/>
  <c r="AU110" i="12"/>
  <c r="AS110" i="12"/>
  <c r="AF24" i="10"/>
  <c r="AU277" i="12" s="1"/>
  <c r="AU61" i="12"/>
  <c r="AS61" i="12"/>
  <c r="AU72" i="12"/>
  <c r="AT72" i="12"/>
  <c r="AG54" i="6"/>
  <c r="AG87" i="6"/>
  <c r="AK88" i="6" s="1"/>
  <c r="AB205" i="12"/>
  <c r="AU222" i="12"/>
  <c r="AB203" i="12"/>
  <c r="AU220" i="12"/>
  <c r="AU218" i="12"/>
  <c r="AB200" i="12"/>
  <c r="AU228" i="12"/>
  <c r="AU327" i="12"/>
  <c r="AB204" i="12"/>
  <c r="AU221" i="12"/>
  <c r="AU219" i="12"/>
  <c r="AU237" i="12"/>
  <c r="AB202" i="12"/>
  <c r="AB199" i="12"/>
  <c r="AU217" i="12"/>
  <c r="AU41" i="12"/>
  <c r="AU22" i="12"/>
  <c r="AF52" i="9"/>
  <c r="AU210" i="12"/>
  <c r="AF30" i="10"/>
  <c r="AU309" i="12" s="1"/>
  <c r="AF33" i="10"/>
  <c r="AF34" i="10" s="1"/>
  <c r="AE9" i="10"/>
  <c r="AE94" i="9"/>
  <c r="AI95" i="9" s="1"/>
  <c r="AE67" i="9"/>
  <c r="AE95" i="6"/>
  <c r="AR135" i="12" s="1"/>
  <c r="AE94" i="6"/>
  <c r="AR134" i="12" s="1"/>
  <c r="AE91" i="6"/>
  <c r="AE90" i="6"/>
  <c r="AE85" i="6"/>
  <c r="AE67" i="6"/>
  <c r="AE62" i="6"/>
  <c r="AR61" i="12" s="1"/>
  <c r="AE61" i="6"/>
  <c r="AR60" i="12" s="1"/>
  <c r="AE59" i="6"/>
  <c r="AR169" i="12" s="1"/>
  <c r="AE58" i="6"/>
  <c r="AR168" i="12" s="1"/>
  <c r="AE56" i="6"/>
  <c r="AE55" i="6"/>
  <c r="AE53" i="6"/>
  <c r="AR152" i="12" s="1"/>
  <c r="AE51" i="6"/>
  <c r="AR167" i="12" s="1"/>
  <c r="AE49" i="6"/>
  <c r="AE48" i="6"/>
  <c r="AR97" i="12" s="1"/>
  <c r="AE47" i="6"/>
  <c r="AE45" i="6"/>
  <c r="AE42" i="6"/>
  <c r="AE10" i="6"/>
  <c r="AI79" i="6" s="1"/>
  <c r="AE29" i="10"/>
  <c r="AE20" i="10"/>
  <c r="AE19" i="10"/>
  <c r="AT287" i="12" s="1"/>
  <c r="AE18" i="10"/>
  <c r="AR271" i="12"/>
  <c r="AR222" i="12"/>
  <c r="AE140" i="9"/>
  <c r="AR221" i="12" s="1"/>
  <c r="AE139" i="9"/>
  <c r="AR220" i="12" s="1"/>
  <c r="AE138" i="9"/>
  <c r="AE136" i="9"/>
  <c r="AR217" i="12"/>
  <c r="AE130" i="9"/>
  <c r="AE129" i="9"/>
  <c r="AE128" i="9"/>
  <c r="AE126" i="9"/>
  <c r="AE118" i="9"/>
  <c r="AE88" i="9"/>
  <c r="AE61" i="9"/>
  <c r="AE56" i="9"/>
  <c r="AR190" i="12" s="1"/>
  <c r="AE54" i="9"/>
  <c r="AR2" i="10" l="1"/>
  <c r="AR2" i="6" s="1"/>
  <c r="AS2" i="9"/>
  <c r="AE26" i="10"/>
  <c r="AE25" i="10"/>
  <c r="AI25" i="10"/>
  <c r="AR110" i="12"/>
  <c r="AI43" i="6"/>
  <c r="AI84" i="6"/>
  <c r="AT304" i="12"/>
  <c r="AI31" i="10"/>
  <c r="AS72" i="12"/>
  <c r="AI74" i="6"/>
  <c r="AF96" i="9"/>
  <c r="AF26" i="10"/>
  <c r="AR228" i="12"/>
  <c r="AR218" i="12"/>
  <c r="AR210" i="12"/>
  <c r="AR219" i="12"/>
  <c r="AR237" i="12"/>
  <c r="AU320" i="12"/>
  <c r="AF54" i="6"/>
  <c r="AF87" i="6"/>
  <c r="AJ88" i="6" s="1"/>
  <c r="AE96" i="9"/>
  <c r="AE24" i="10"/>
  <c r="AT277" i="12" s="1"/>
  <c r="AE33" i="10"/>
  <c r="AE34" i="10" s="1"/>
  <c r="AE30" i="10"/>
  <c r="AT309" i="12" s="1"/>
  <c r="AE52" i="9"/>
  <c r="AD55" i="9"/>
  <c r="AS2" i="10" l="1"/>
  <c r="AS2" i="6" s="1"/>
  <c r="AT2" i="9"/>
  <c r="AK182" i="12"/>
  <c r="AJ182" i="12"/>
  <c r="AM182" i="12"/>
  <c r="AL182" i="12"/>
  <c r="AO182" i="12"/>
  <c r="AN182" i="12"/>
  <c r="AP182" i="12"/>
  <c r="AD187" i="9"/>
  <c r="AD56" i="9"/>
  <c r="AQ190" i="12" s="1"/>
  <c r="AQ182" i="12"/>
  <c r="AT320" i="12"/>
  <c r="AD67" i="9"/>
  <c r="AD10" i="6"/>
  <c r="AH79" i="6" s="1"/>
  <c r="AD42" i="6"/>
  <c r="AD45" i="6"/>
  <c r="AD47" i="6"/>
  <c r="AD48" i="6"/>
  <c r="AQ97" i="12" s="1"/>
  <c r="AD49" i="6"/>
  <c r="AD51" i="6"/>
  <c r="AQ167" i="12" s="1"/>
  <c r="AD53" i="6"/>
  <c r="AQ152" i="12" s="1"/>
  <c r="AD55" i="6"/>
  <c r="AD56" i="6"/>
  <c r="AD58" i="6"/>
  <c r="AQ168" i="12" s="1"/>
  <c r="AD59" i="6"/>
  <c r="AQ169" i="12" s="1"/>
  <c r="AD61" i="6"/>
  <c r="AQ60" i="12" s="1"/>
  <c r="AD62" i="6"/>
  <c r="AQ61" i="12" s="1"/>
  <c r="AD67" i="6"/>
  <c r="AD85" i="6"/>
  <c r="AD90" i="6"/>
  <c r="AD91" i="6"/>
  <c r="AD94" i="6"/>
  <c r="AQ134" i="12" s="1"/>
  <c r="AD95" i="6"/>
  <c r="AQ135" i="12" s="1"/>
  <c r="AD18" i="10"/>
  <c r="AD19" i="10"/>
  <c r="AS287" i="12" s="1"/>
  <c r="AD20" i="10"/>
  <c r="AD24" i="10"/>
  <c r="AS277" i="12" s="1"/>
  <c r="AD26" i="10"/>
  <c r="AD29" i="10"/>
  <c r="AH31" i="10" s="1"/>
  <c r="AD84" i="9"/>
  <c r="AD71" i="9"/>
  <c r="AD159" i="9"/>
  <c r="AD156" i="9"/>
  <c r="AQ271" i="12" s="1"/>
  <c r="AD154" i="9"/>
  <c r="AD152" i="9"/>
  <c r="AD148" i="9"/>
  <c r="AD147" i="9"/>
  <c r="AD145" i="9"/>
  <c r="AD144" i="9"/>
  <c r="AQ183" i="12" s="1"/>
  <c r="AD141" i="9"/>
  <c r="AD140" i="9"/>
  <c r="AQ221" i="12" s="1"/>
  <c r="AD139" i="9"/>
  <c r="AQ220" i="12" s="1"/>
  <c r="AD138" i="9"/>
  <c r="AD136" i="9"/>
  <c r="AD135" i="9"/>
  <c r="AQ217" i="12" s="1"/>
  <c r="AD131" i="9"/>
  <c r="AD130" i="9"/>
  <c r="AD129" i="9"/>
  <c r="AD128" i="9"/>
  <c r="AD126" i="9"/>
  <c r="AD125" i="9"/>
  <c r="AD118" i="9"/>
  <c r="AD88" i="9"/>
  <c r="AD61" i="9"/>
  <c r="AD54" i="9"/>
  <c r="AT2" i="10" l="1"/>
  <c r="AT2" i="6" s="1"/>
  <c r="AU2" i="9"/>
  <c r="AQ222" i="12"/>
  <c r="AS183" i="12"/>
  <c r="AR183" i="12"/>
  <c r="AH43" i="6"/>
  <c r="AU183" i="12"/>
  <c r="AT183" i="12"/>
  <c r="AD158" i="9"/>
  <c r="AQ327" i="12"/>
  <c r="AD190" i="9"/>
  <c r="AD188" i="9"/>
  <c r="AH190" i="9"/>
  <c r="AD52" i="9"/>
  <c r="AQ210" i="12"/>
  <c r="AQ219" i="12"/>
  <c r="AQ237" i="12"/>
  <c r="AQ218" i="12"/>
  <c r="AQ228" i="12"/>
  <c r="AH84" i="6"/>
  <c r="AQ110" i="12"/>
  <c r="AR72" i="12"/>
  <c r="AH74" i="6"/>
  <c r="AD30" i="10"/>
  <c r="AS309" i="12" s="1"/>
  <c r="AS304" i="12"/>
  <c r="AE54" i="6"/>
  <c r="AE87" i="6"/>
  <c r="AI88" i="6" s="1"/>
  <c r="AD33" i="10"/>
  <c r="AU2" i="10" l="1"/>
  <c r="AU2" i="6" s="1"/>
  <c r="AV2" i="9"/>
  <c r="AD142" i="9"/>
  <c r="AD34" i="10"/>
  <c r="AS320" i="12"/>
  <c r="AC10" i="6"/>
  <c r="AG79" i="6" s="1"/>
  <c r="AC42" i="6"/>
  <c r="AC45" i="6"/>
  <c r="AC47" i="6"/>
  <c r="AC48" i="6"/>
  <c r="AP97" i="12" s="1"/>
  <c r="AC49" i="6"/>
  <c r="AC51" i="6"/>
  <c r="AP167" i="12" s="1"/>
  <c r="AC53" i="6"/>
  <c r="AP152" i="12" s="1"/>
  <c r="AC55" i="6"/>
  <c r="AC56" i="6"/>
  <c r="AC58" i="6"/>
  <c r="AP168" i="12" s="1"/>
  <c r="AC59" i="6"/>
  <c r="AP169" i="12" s="1"/>
  <c r="AC61" i="6"/>
  <c r="AP60" i="12" s="1"/>
  <c r="AC62" i="6"/>
  <c r="AP61" i="12" s="1"/>
  <c r="AC67" i="6"/>
  <c r="AC85" i="6"/>
  <c r="AC90" i="6"/>
  <c r="AC91" i="6"/>
  <c r="AC94" i="6"/>
  <c r="AP134" i="12" s="1"/>
  <c r="AC95" i="6"/>
  <c r="AP135" i="12" s="1"/>
  <c r="AC18" i="10"/>
  <c r="AC19" i="10"/>
  <c r="AR287" i="12" s="1"/>
  <c r="AC20" i="10"/>
  <c r="AC24" i="10"/>
  <c r="AR277" i="12" s="1"/>
  <c r="AC26" i="10"/>
  <c r="AC29" i="10"/>
  <c r="AV2" i="10" l="1"/>
  <c r="AV2" i="6" s="1"/>
  <c r="AW2" i="9"/>
  <c r="AG43" i="6"/>
  <c r="AG84" i="6"/>
  <c r="AT116" i="12" s="1"/>
  <c r="AP110" i="12"/>
  <c r="AG74" i="6"/>
  <c r="AQ72" i="12"/>
  <c r="AR304" i="12"/>
  <c r="AG31" i="10"/>
  <c r="AD54" i="6"/>
  <c r="AD87" i="6"/>
  <c r="AH88" i="6" s="1"/>
  <c r="AC33" i="10"/>
  <c r="AC30" i="10"/>
  <c r="AR309" i="12" s="1"/>
  <c r="AC54" i="9"/>
  <c r="AC56" i="9"/>
  <c r="AP190" i="12" s="1"/>
  <c r="AC61" i="9"/>
  <c r="AC69" i="9"/>
  <c r="AC84" i="9"/>
  <c r="AC88" i="9"/>
  <c r="AC94" i="9"/>
  <c r="AC118" i="9"/>
  <c r="AC125" i="9"/>
  <c r="AC126" i="9"/>
  <c r="AC128" i="9"/>
  <c r="AC129" i="9"/>
  <c r="AC130" i="9"/>
  <c r="AC131" i="9"/>
  <c r="AC135" i="9"/>
  <c r="AP217" i="12" s="1"/>
  <c r="AC136" i="9"/>
  <c r="AC138" i="9"/>
  <c r="AC139" i="9"/>
  <c r="AP220" i="12" s="1"/>
  <c r="AC140" i="9"/>
  <c r="AP221" i="12" s="1"/>
  <c r="AC141" i="9"/>
  <c r="AC144" i="9"/>
  <c r="AP183" i="12" s="1"/>
  <c r="AC145" i="9"/>
  <c r="AC147" i="9"/>
  <c r="AC148" i="9"/>
  <c r="AC154" i="9"/>
  <c r="AC156" i="9"/>
  <c r="AP271" i="12" s="1"/>
  <c r="AC159" i="9"/>
  <c r="AW2" i="10" l="1"/>
  <c r="AW2" i="6" s="1"/>
  <c r="AX2" i="9"/>
  <c r="AP222" i="12"/>
  <c r="AT211" i="12"/>
  <c r="AP210" i="12"/>
  <c r="AP237" i="12"/>
  <c r="AP219" i="12"/>
  <c r="AC158" i="9"/>
  <c r="AP327" i="12"/>
  <c r="AD96" i="9"/>
  <c r="AG95" i="9"/>
  <c r="AT41" i="12" s="1"/>
  <c r="AP218" i="12"/>
  <c r="AP228" i="12"/>
  <c r="AC34" i="10"/>
  <c r="AR320" i="12"/>
  <c r="AC52" i="9"/>
  <c r="AB18" i="10"/>
  <c r="AB19" i="10"/>
  <c r="AQ287" i="12" s="1"/>
  <c r="AB20" i="10"/>
  <c r="AB24" i="10"/>
  <c r="AQ277" i="12" s="1"/>
  <c r="AB26" i="10"/>
  <c r="AB29" i="10"/>
  <c r="AB45" i="6"/>
  <c r="AB47" i="6"/>
  <c r="AB48" i="6"/>
  <c r="AO97" i="12" s="1"/>
  <c r="AB49" i="6"/>
  <c r="AB51" i="6"/>
  <c r="AO167" i="12" s="1"/>
  <c r="AB53" i="6"/>
  <c r="AO152" i="12" s="1"/>
  <c r="AB55" i="6"/>
  <c r="AB56" i="6"/>
  <c r="AB58" i="6"/>
  <c r="AO168" i="12" s="1"/>
  <c r="AB59" i="6"/>
  <c r="AO169" i="12" s="1"/>
  <c r="AB61" i="6"/>
  <c r="AO60" i="12" s="1"/>
  <c r="AB62" i="6"/>
  <c r="AO61" i="12" s="1"/>
  <c r="AB67" i="6"/>
  <c r="AB85" i="6"/>
  <c r="AB90" i="6"/>
  <c r="AB91" i="6"/>
  <c r="AB94" i="6"/>
  <c r="AO134" i="12" s="1"/>
  <c r="AB95" i="6"/>
  <c r="AO135" i="12" s="1"/>
  <c r="AB42" i="6"/>
  <c r="AB10" i="6"/>
  <c r="AF79" i="6" s="1"/>
  <c r="AB69" i="9"/>
  <c r="AB61" i="9"/>
  <c r="AB56" i="9"/>
  <c r="AO190" i="12" s="1"/>
  <c r="AB54" i="9"/>
  <c r="AB94" i="9"/>
  <c r="AB125" i="9"/>
  <c r="AB126" i="9"/>
  <c r="AB128" i="9"/>
  <c r="AB129" i="9"/>
  <c r="AB130" i="9"/>
  <c r="AB131" i="9"/>
  <c r="AB135" i="9"/>
  <c r="AO217" i="12" s="1"/>
  <c r="AB136" i="9"/>
  <c r="AB138" i="9"/>
  <c r="AB139" i="9"/>
  <c r="AO220" i="12" s="1"/>
  <c r="AB140" i="9"/>
  <c r="AO221" i="12" s="1"/>
  <c r="AB141" i="9"/>
  <c r="AB144" i="9"/>
  <c r="AO183" i="12" s="1"/>
  <c r="AB145" i="9"/>
  <c r="AB147" i="9"/>
  <c r="AB148" i="9"/>
  <c r="AB152" i="9"/>
  <c r="AB154" i="9"/>
  <c r="AB156" i="9"/>
  <c r="AO271" i="12" s="1"/>
  <c r="AB159" i="9"/>
  <c r="AA88" i="9"/>
  <c r="AB88" i="9"/>
  <c r="AB84" i="9"/>
  <c r="AB71" i="9"/>
  <c r="AX2" i="10" l="1"/>
  <c r="AX2" i="6" s="1"/>
  <c r="AY2" i="9"/>
  <c r="AO222" i="12"/>
  <c r="AF43" i="6"/>
  <c r="AC142" i="9"/>
  <c r="AO210" i="12"/>
  <c r="AN210" i="12"/>
  <c r="AB158" i="9"/>
  <c r="AO327" i="12"/>
  <c r="AF84" i="6"/>
  <c r="AO110" i="12"/>
  <c r="AO237" i="12"/>
  <c r="AO219" i="12"/>
  <c r="AO218" i="12"/>
  <c r="AO228" i="12"/>
  <c r="AF74" i="6"/>
  <c r="AP72" i="12"/>
  <c r="AF31" i="10"/>
  <c r="AQ304" i="12"/>
  <c r="AC96" i="9"/>
  <c r="AF95" i="9"/>
  <c r="AS41" i="12" s="1"/>
  <c r="AB52" i="9"/>
  <c r="AR211" i="12"/>
  <c r="AC54" i="6"/>
  <c r="AC87" i="6"/>
  <c r="AG88" i="6" s="1"/>
  <c r="AB33" i="10"/>
  <c r="AB30" i="10"/>
  <c r="AQ309" i="12" s="1"/>
  <c r="Y32" i="9"/>
  <c r="Z32" i="9"/>
  <c r="AA32" i="9"/>
  <c r="AY2" i="10" l="1"/>
  <c r="AY2" i="6" s="1"/>
  <c r="AZ2" i="9"/>
  <c r="AA30" i="9"/>
  <c r="Z30" i="9"/>
  <c r="Y30" i="9"/>
  <c r="AN16" i="12"/>
  <c r="AB142" i="9"/>
  <c r="AC117" i="9"/>
  <c r="AL16" i="12"/>
  <c r="AD117" i="9"/>
  <c r="AM16" i="12"/>
  <c r="AU211" i="12"/>
  <c r="AS211" i="12"/>
  <c r="AU116" i="12"/>
  <c r="AS116" i="12"/>
  <c r="AU78" i="12"/>
  <c r="AT78" i="12"/>
  <c r="AB34" i="10"/>
  <c r="AQ320" i="12"/>
  <c r="AB118" i="9"/>
  <c r="AE117" i="9"/>
  <c r="AR22" i="12" s="1"/>
  <c r="AA94" i="6"/>
  <c r="AN134" i="12" s="1"/>
  <c r="AA95" i="6"/>
  <c r="AN135" i="12" s="1"/>
  <c r="AA67" i="6"/>
  <c r="AA85" i="6"/>
  <c r="AA90" i="6"/>
  <c r="AA91" i="6"/>
  <c r="AA45" i="6"/>
  <c r="AA47" i="6"/>
  <c r="AA48" i="6"/>
  <c r="AN97" i="12" s="1"/>
  <c r="AA49" i="6"/>
  <c r="AA51" i="6"/>
  <c r="AN167" i="12" s="1"/>
  <c r="AA53" i="6"/>
  <c r="AN152" i="12" s="1"/>
  <c r="AA55" i="6"/>
  <c r="AA56" i="6"/>
  <c r="AA58" i="6"/>
  <c r="AN168" i="12" s="1"/>
  <c r="AA59" i="6"/>
  <c r="AN169" i="12" s="1"/>
  <c r="AA61" i="6"/>
  <c r="AN60" i="12" s="1"/>
  <c r="AA62" i="6"/>
  <c r="AN61" i="12" s="1"/>
  <c r="AA42" i="6"/>
  <c r="AE43" i="6" s="1"/>
  <c r="AA10" i="6"/>
  <c r="AE79" i="6" s="1"/>
  <c r="AA18" i="10"/>
  <c r="AA19" i="10"/>
  <c r="AP287" i="12" s="1"/>
  <c r="AA20" i="10"/>
  <c r="AA24" i="10"/>
  <c r="AP277" i="12" s="1"/>
  <c r="AA29" i="10"/>
  <c r="AP304" i="12" s="1"/>
  <c r="AA94" i="9"/>
  <c r="AA118" i="9"/>
  <c r="AA125" i="9"/>
  <c r="AA126" i="9"/>
  <c r="AA128" i="9"/>
  <c r="AA129" i="9"/>
  <c r="AA130" i="9"/>
  <c r="AA131" i="9"/>
  <c r="AA135" i="9"/>
  <c r="AN217" i="12" s="1"/>
  <c r="AA136" i="9"/>
  <c r="AA138" i="9"/>
  <c r="AA139" i="9"/>
  <c r="AN220" i="12" s="1"/>
  <c r="AA140" i="9"/>
  <c r="AN221" i="12" s="1"/>
  <c r="AA141" i="9"/>
  <c r="AA142" i="9"/>
  <c r="AA145" i="9"/>
  <c r="AA147" i="9"/>
  <c r="AA148" i="9"/>
  <c r="AA152" i="9"/>
  <c r="AA154" i="9"/>
  <c r="AA156" i="9"/>
  <c r="AN271" i="12" s="1"/>
  <c r="AA159" i="9"/>
  <c r="AA61" i="9"/>
  <c r="AA56" i="9"/>
  <c r="AN190" i="12" s="1"/>
  <c r="AA71" i="9"/>
  <c r="AA84" i="9"/>
  <c r="AZ2" i="10" l="1"/>
  <c r="AZ2" i="6" s="1"/>
  <c r="BA2" i="9"/>
  <c r="BA2" i="10" s="1"/>
  <c r="BA2" i="6" s="1"/>
  <c r="AC106" i="9"/>
  <c r="AE106" i="9"/>
  <c r="AD106" i="9"/>
  <c r="AN222" i="12"/>
  <c r="AP22" i="12"/>
  <c r="AQ22" i="12"/>
  <c r="AE84" i="6"/>
  <c r="AR116" i="12" s="1"/>
  <c r="AN110" i="12"/>
  <c r="AN228" i="12"/>
  <c r="AN218" i="12"/>
  <c r="AN219" i="12"/>
  <c r="AN237" i="12"/>
  <c r="AA158" i="9"/>
  <c r="AN327" i="12"/>
  <c r="AE74" i="6"/>
  <c r="AS78" i="12" s="1"/>
  <c r="AO72" i="12"/>
  <c r="AB96" i="9"/>
  <c r="AE95" i="9"/>
  <c r="AR41" i="12" s="1"/>
  <c r="AA30" i="10"/>
  <c r="AP309" i="12" s="1"/>
  <c r="AE31" i="10"/>
  <c r="AB54" i="6"/>
  <c r="AB87" i="6"/>
  <c r="AF88" i="6" s="1"/>
  <c r="AA33" i="10"/>
  <c r="Z94" i="6"/>
  <c r="AM134" i="12" s="1"/>
  <c r="Z95" i="6"/>
  <c r="AM135" i="12" s="1"/>
  <c r="AA34" i="10" l="1"/>
  <c r="AP320" i="12"/>
  <c r="Z9" i="6"/>
  <c r="Z42" i="6"/>
  <c r="AD43" i="6" s="1"/>
  <c r="Y9" i="6"/>
  <c r="Z9" i="10"/>
  <c r="Z71" i="9"/>
  <c r="Z61" i="9"/>
  <c r="Z54" i="9"/>
  <c r="Z45" i="6"/>
  <c r="Z47" i="6"/>
  <c r="Z48" i="6"/>
  <c r="AM97" i="12" s="1"/>
  <c r="Z49" i="6"/>
  <c r="Z51" i="6"/>
  <c r="AM167" i="12" s="1"/>
  <c r="Z53" i="6"/>
  <c r="AM152" i="12" s="1"/>
  <c r="Z55" i="6"/>
  <c r="Z56" i="6"/>
  <c r="Z58" i="6"/>
  <c r="AM168" i="12" s="1"/>
  <c r="Z59" i="6"/>
  <c r="AM169" i="12" s="1"/>
  <c r="Z61" i="6"/>
  <c r="AM60" i="12" s="1"/>
  <c r="Z62" i="6"/>
  <c r="AM61" i="12" s="1"/>
  <c r="Z67" i="6"/>
  <c r="Z85" i="6"/>
  <c r="Z90" i="6"/>
  <c r="Z91" i="6"/>
  <c r="Z18" i="10"/>
  <c r="Z19" i="10"/>
  <c r="AO287" i="12" s="1"/>
  <c r="Z20" i="10"/>
  <c r="Z29" i="10"/>
  <c r="AO304" i="12" s="1"/>
  <c r="Z88" i="9"/>
  <c r="AD25" i="10" l="1"/>
  <c r="AD132" i="9"/>
  <c r="AQ211" i="12" s="1"/>
  <c r="AM210" i="12"/>
  <c r="AD84" i="6"/>
  <c r="AQ116" i="12" s="1"/>
  <c r="AM110" i="12"/>
  <c r="AD74" i="6"/>
  <c r="AR78" i="12" s="1"/>
  <c r="AN72" i="12"/>
  <c r="Z33" i="10"/>
  <c r="AD31" i="10"/>
  <c r="Z10" i="6"/>
  <c r="AD79" i="6" s="1"/>
  <c r="Z24" i="10"/>
  <c r="AO277" i="12" s="1"/>
  <c r="AA26" i="10"/>
  <c r="Z30" i="10"/>
  <c r="AO309" i="12" s="1"/>
  <c r="Z84" i="9"/>
  <c r="Z94" i="9"/>
  <c r="Z118" i="9"/>
  <c r="Z125" i="9"/>
  <c r="Z126" i="9"/>
  <c r="Z128" i="9"/>
  <c r="Z129" i="9"/>
  <c r="Z130" i="9"/>
  <c r="Z131" i="9"/>
  <c r="Z135" i="9"/>
  <c r="AM217" i="12" s="1"/>
  <c r="Z136" i="9"/>
  <c r="Z138" i="9"/>
  <c r="Z139" i="9"/>
  <c r="AM220" i="12" s="1"/>
  <c r="Z140" i="9"/>
  <c r="AM221" i="12" s="1"/>
  <c r="Z141" i="9"/>
  <c r="AM222" i="12" s="1"/>
  <c r="Z142" i="9"/>
  <c r="Z147" i="9"/>
  <c r="Z148" i="9"/>
  <c r="Z152" i="9"/>
  <c r="Z154" i="9"/>
  <c r="Z159" i="9"/>
  <c r="Z56" i="9"/>
  <c r="AM190" i="12" s="1"/>
  <c r="Z158" i="9" l="1"/>
  <c r="AM327" i="12"/>
  <c r="AM219" i="12"/>
  <c r="AM237" i="12"/>
  <c r="AM228" i="12"/>
  <c r="AM218" i="12"/>
  <c r="Z34" i="10"/>
  <c r="AO320" i="12"/>
  <c r="AA96" i="9"/>
  <c r="AD95" i="9"/>
  <c r="AQ41" i="12" s="1"/>
  <c r="AA87" i="6"/>
  <c r="AE88" i="6" s="1"/>
  <c r="AA54" i="6"/>
  <c r="Z156" i="9"/>
  <c r="AM271" i="12" s="1"/>
  <c r="Y159" i="9"/>
  <c r="U9" i="6" l="1"/>
  <c r="V9" i="6"/>
  <c r="W9" i="6"/>
  <c r="X9" i="6"/>
  <c r="Y42" i="6" l="1"/>
  <c r="AC43" i="6" s="1"/>
  <c r="Y10" i="6"/>
  <c r="AC79" i="6" s="1"/>
  <c r="Y9" i="10"/>
  <c r="Y71" i="9"/>
  <c r="Y65" i="9"/>
  <c r="Y75" i="9"/>
  <c r="Y84" i="9"/>
  <c r="Y61" i="9"/>
  <c r="Y54" i="9"/>
  <c r="Y47" i="6"/>
  <c r="Y48" i="6"/>
  <c r="AL97" i="12" s="1"/>
  <c r="Y49" i="6"/>
  <c r="Y51" i="6"/>
  <c r="AL167" i="12" s="1"/>
  <c r="Y53" i="6"/>
  <c r="AL152" i="12" s="1"/>
  <c r="Y55" i="6"/>
  <c r="Y56" i="6"/>
  <c r="Y58" i="6"/>
  <c r="AL168" i="12" s="1"/>
  <c r="Y59" i="6"/>
  <c r="AL169" i="12" s="1"/>
  <c r="Y61" i="6"/>
  <c r="AL60" i="12" s="1"/>
  <c r="Y62" i="6"/>
  <c r="AL61" i="12" s="1"/>
  <c r="Y67" i="6"/>
  <c r="Y85" i="6"/>
  <c r="Y90" i="6"/>
  <c r="Y91" i="6"/>
  <c r="Y94" i="6"/>
  <c r="AL134" i="12" s="1"/>
  <c r="Y95" i="6"/>
  <c r="AL135" i="12" s="1"/>
  <c r="Y45" i="6"/>
  <c r="Y18" i="10"/>
  <c r="Y19" i="10"/>
  <c r="AN287" i="12" s="1"/>
  <c r="Y20" i="10"/>
  <c r="Y94" i="9"/>
  <c r="AC95" i="9" s="1"/>
  <c r="AP41" i="12" s="1"/>
  <c r="Y125" i="9"/>
  <c r="Y126" i="9"/>
  <c r="Y128" i="9"/>
  <c r="Y129" i="9"/>
  <c r="Y130" i="9"/>
  <c r="Y131" i="9"/>
  <c r="Y135" i="9"/>
  <c r="AL217" i="12" s="1"/>
  <c r="Y136" i="9"/>
  <c r="Y138" i="9"/>
  <c r="Y139" i="9"/>
  <c r="AL220" i="12" s="1"/>
  <c r="Y140" i="9"/>
  <c r="AL221" i="12" s="1"/>
  <c r="Y141" i="9"/>
  <c r="AL222" i="12" s="1"/>
  <c r="Y142" i="9"/>
  <c r="Y147" i="9"/>
  <c r="Y148" i="9"/>
  <c r="Y156" i="9"/>
  <c r="AL271" i="12" s="1"/>
  <c r="Y88" i="9"/>
  <c r="AB254" i="12" l="1"/>
  <c r="AC254" i="12"/>
  <c r="AD254" i="12"/>
  <c r="AF254" i="12"/>
  <c r="AE254" i="12"/>
  <c r="AH254" i="12"/>
  <c r="AG254" i="12"/>
  <c r="Y24" i="10"/>
  <c r="AN277" i="12" s="1"/>
  <c r="AC25" i="10"/>
  <c r="AJ254" i="12"/>
  <c r="AI254" i="12"/>
  <c r="AK254" i="12"/>
  <c r="AC84" i="6"/>
  <c r="AP116" i="12" s="1"/>
  <c r="AL110" i="12"/>
  <c r="AC132" i="9"/>
  <c r="AP211" i="12" s="1"/>
  <c r="AL210" i="12"/>
  <c r="Y158" i="9"/>
  <c r="AL327" i="12"/>
  <c r="AL237" i="12"/>
  <c r="AL219" i="12"/>
  <c r="AC152" i="9"/>
  <c r="AL254" i="12"/>
  <c r="AL218" i="12"/>
  <c r="AL228" i="12"/>
  <c r="AC74" i="6"/>
  <c r="AQ78" i="12" s="1"/>
  <c r="AM72" i="12"/>
  <c r="Y152" i="9"/>
  <c r="Y154" i="9"/>
  <c r="Z26" i="10"/>
  <c r="Z87" i="6"/>
  <c r="AD88" i="6" s="1"/>
  <c r="Z54" i="6"/>
  <c r="Z96" i="9"/>
  <c r="X136" i="9"/>
  <c r="N59" i="6"/>
  <c r="X128" i="9"/>
  <c r="AK218" i="12" l="1"/>
  <c r="AK228" i="12"/>
  <c r="Z145" i="9"/>
  <c r="Y56" i="9"/>
  <c r="AL190" i="12" s="1"/>
  <c r="Y29" i="10"/>
  <c r="O53" i="6"/>
  <c r="P53" i="6"/>
  <c r="Q53" i="6"/>
  <c r="AD152" i="12" s="1"/>
  <c r="R53" i="6"/>
  <c r="S53" i="6"/>
  <c r="T53" i="6"/>
  <c r="U53" i="6"/>
  <c r="V53" i="6"/>
  <c r="W53" i="6"/>
  <c r="X53" i="6"/>
  <c r="AK152" i="12" s="1"/>
  <c r="R95" i="6"/>
  <c r="S95" i="6"/>
  <c r="T95" i="6"/>
  <c r="U95" i="6"/>
  <c r="V95" i="6"/>
  <c r="AI135" i="12" s="1"/>
  <c r="W95" i="6"/>
  <c r="AJ135" i="12" s="1"/>
  <c r="X95" i="6"/>
  <c r="AK135" i="12" s="1"/>
  <c r="Q95" i="6"/>
  <c r="R94" i="6"/>
  <c r="S94" i="6"/>
  <c r="T94" i="6"/>
  <c r="U94" i="6"/>
  <c r="V94" i="6"/>
  <c r="AI134" i="12" s="1"/>
  <c r="W94" i="6"/>
  <c r="AJ134" i="12" s="1"/>
  <c r="X94" i="6"/>
  <c r="AK134" i="12" s="1"/>
  <c r="Q94" i="6"/>
  <c r="G67" i="6"/>
  <c r="H67" i="6"/>
  <c r="I67" i="6"/>
  <c r="J67" i="6"/>
  <c r="K67" i="6"/>
  <c r="L67" i="6"/>
  <c r="M67" i="6"/>
  <c r="N67" i="6"/>
  <c r="O67" i="6"/>
  <c r="G61" i="6"/>
  <c r="G62" i="6"/>
  <c r="H61" i="6"/>
  <c r="I61" i="6"/>
  <c r="H62" i="6"/>
  <c r="I62" i="6"/>
  <c r="J61" i="6"/>
  <c r="K61" i="6"/>
  <c r="L61" i="6"/>
  <c r="M61" i="6"/>
  <c r="N61" i="6"/>
  <c r="O61" i="6"/>
  <c r="P61" i="6"/>
  <c r="Q61" i="6"/>
  <c r="R61" i="6"/>
  <c r="S61" i="6"/>
  <c r="T61" i="6"/>
  <c r="U61" i="6"/>
  <c r="V61" i="6"/>
  <c r="W61" i="6"/>
  <c r="J62" i="6"/>
  <c r="K62" i="6"/>
  <c r="L62" i="6"/>
  <c r="M62" i="6"/>
  <c r="N62" i="6"/>
  <c r="O62" i="6"/>
  <c r="P62" i="6"/>
  <c r="Q62" i="6"/>
  <c r="R62" i="6"/>
  <c r="S62" i="6"/>
  <c r="T62" i="6"/>
  <c r="U62" i="6"/>
  <c r="V62" i="6"/>
  <c r="W62" i="6"/>
  <c r="X62" i="6"/>
  <c r="AK61" i="12" s="1"/>
  <c r="X61" i="6"/>
  <c r="AK60" i="12" s="1"/>
  <c r="X9" i="10"/>
  <c r="W9" i="10"/>
  <c r="V9" i="10"/>
  <c r="U9" i="10"/>
  <c r="T9" i="10"/>
  <c r="S9" i="10"/>
  <c r="R9" i="10"/>
  <c r="Q9" i="10"/>
  <c r="P9" i="10"/>
  <c r="O9" i="10"/>
  <c r="AF134" i="12" l="1"/>
  <c r="AF135" i="12"/>
  <c r="V25" i="10"/>
  <c r="Z25" i="10"/>
  <c r="U25" i="10"/>
  <c r="Y25" i="10"/>
  <c r="S25" i="10"/>
  <c r="AA25" i="10"/>
  <c r="W25" i="10"/>
  <c r="T25" i="10"/>
  <c r="AB25" i="10"/>
  <c r="X25" i="10"/>
  <c r="AH152" i="12"/>
  <c r="AE134" i="12"/>
  <c r="AB134" i="12"/>
  <c r="AE135" i="12"/>
  <c r="AB135" i="12"/>
  <c r="AG61" i="12"/>
  <c r="AC152" i="12"/>
  <c r="AI152" i="12"/>
  <c r="AH135" i="12"/>
  <c r="AE60" i="12"/>
  <c r="AI60" i="12"/>
  <c r="AG152" i="12"/>
  <c r="AC61" i="12"/>
  <c r="AH134" i="12"/>
  <c r="AD135" i="12"/>
  <c r="AC135" i="12"/>
  <c r="AG134" i="12"/>
  <c r="AG135" i="12"/>
  <c r="AD134" i="12"/>
  <c r="AC134" i="12"/>
  <c r="AB61" i="12"/>
  <c r="AJ152" i="12"/>
  <c r="AF152" i="12"/>
  <c r="AB152" i="12"/>
  <c r="AJ61" i="12"/>
  <c r="AH60" i="12"/>
  <c r="AD60" i="12"/>
  <c r="AI61" i="12"/>
  <c r="AE61" i="12"/>
  <c r="AG60" i="12"/>
  <c r="AC60" i="12"/>
  <c r="AE152" i="12"/>
  <c r="AF61" i="12"/>
  <c r="AH61" i="12"/>
  <c r="AD61" i="12"/>
  <c r="AJ60" i="12"/>
  <c r="AF60" i="12"/>
  <c r="AB60" i="12"/>
  <c r="M74" i="6"/>
  <c r="L74" i="6"/>
  <c r="K74" i="6"/>
  <c r="O74" i="6"/>
  <c r="N74" i="6"/>
  <c r="AC31" i="10"/>
  <c r="AN304" i="12"/>
  <c r="Y30" i="10"/>
  <c r="AN309" i="12" s="1"/>
  <c r="Y33" i="10"/>
  <c r="X24" i="10"/>
  <c r="AM277" i="12" s="1"/>
  <c r="Y26" i="10"/>
  <c r="H55" i="6"/>
  <c r="I55" i="6"/>
  <c r="J55" i="6"/>
  <c r="K55" i="6"/>
  <c r="L55" i="6"/>
  <c r="M55" i="6"/>
  <c r="N55" i="6"/>
  <c r="O55" i="6"/>
  <c r="P55" i="6"/>
  <c r="H56" i="6"/>
  <c r="I56" i="6"/>
  <c r="J56" i="6"/>
  <c r="K56" i="6"/>
  <c r="L56" i="6"/>
  <c r="M56" i="6"/>
  <c r="N56" i="6"/>
  <c r="O56" i="6"/>
  <c r="P56" i="6"/>
  <c r="K58" i="6"/>
  <c r="L58" i="6"/>
  <c r="M58" i="6"/>
  <c r="N58" i="6"/>
  <c r="O58" i="6"/>
  <c r="P58" i="6"/>
  <c r="Q58" i="6"/>
  <c r="R58" i="6"/>
  <c r="S58" i="6"/>
  <c r="K59" i="6"/>
  <c r="L59" i="6"/>
  <c r="M59" i="6"/>
  <c r="O59" i="6"/>
  <c r="P59" i="6"/>
  <c r="Q59" i="6"/>
  <c r="R59" i="6"/>
  <c r="S59" i="6"/>
  <c r="Y34" i="10" l="1"/>
  <c r="AN320" i="12"/>
  <c r="T90" i="6"/>
  <c r="U90" i="6"/>
  <c r="V90" i="6"/>
  <c r="W90" i="6"/>
  <c r="T91" i="6"/>
  <c r="U91" i="6"/>
  <c r="V91" i="6"/>
  <c r="W91" i="6"/>
  <c r="X91" i="6"/>
  <c r="X90" i="6"/>
  <c r="P67" i="6"/>
  <c r="Q67" i="6"/>
  <c r="R67" i="6"/>
  <c r="S67" i="6"/>
  <c r="T67" i="6"/>
  <c r="U67" i="6"/>
  <c r="V67" i="6"/>
  <c r="W67" i="6"/>
  <c r="X67" i="6"/>
  <c r="AL72" i="12" s="1"/>
  <c r="T58" i="6"/>
  <c r="AD168" i="12" s="1"/>
  <c r="U58" i="6"/>
  <c r="V58" i="6"/>
  <c r="AI168" i="12" s="1"/>
  <c r="W58" i="6"/>
  <c r="T59" i="6"/>
  <c r="U59" i="6"/>
  <c r="V59" i="6"/>
  <c r="AI169" i="12" s="1"/>
  <c r="W59" i="6"/>
  <c r="X59" i="6"/>
  <c r="AK169" i="12" s="1"/>
  <c r="X58" i="6"/>
  <c r="AK168" i="12" s="1"/>
  <c r="Q55" i="6"/>
  <c r="R55" i="6"/>
  <c r="S55" i="6"/>
  <c r="T55" i="6"/>
  <c r="U55" i="6"/>
  <c r="V55" i="6"/>
  <c r="W55" i="6"/>
  <c r="Q56" i="6"/>
  <c r="R56" i="6"/>
  <c r="S56" i="6"/>
  <c r="T56" i="6"/>
  <c r="U56" i="6"/>
  <c r="V56" i="6"/>
  <c r="W56" i="6"/>
  <c r="X56" i="6"/>
  <c r="X55" i="6"/>
  <c r="G152" i="9"/>
  <c r="H152" i="9"/>
  <c r="I152" i="9"/>
  <c r="J152" i="9"/>
  <c r="K152" i="9"/>
  <c r="L152" i="9"/>
  <c r="M152" i="9"/>
  <c r="N152" i="9"/>
  <c r="O152" i="9"/>
  <c r="P152" i="9"/>
  <c r="Q152" i="9"/>
  <c r="R152" i="9"/>
  <c r="S152" i="9"/>
  <c r="T152" i="9"/>
  <c r="U152" i="9"/>
  <c r="V152" i="9"/>
  <c r="W152" i="9"/>
  <c r="X152" i="9"/>
  <c r="X84" i="9"/>
  <c r="V69" i="9"/>
  <c r="X71" i="9"/>
  <c r="AB169" i="12" l="1"/>
  <c r="AC327" i="12"/>
  <c r="AB327" i="12"/>
  <c r="AE327" i="12"/>
  <c r="AD327" i="12"/>
  <c r="AD169" i="12"/>
  <c r="AC169" i="12"/>
  <c r="AG327" i="12"/>
  <c r="AF327" i="12"/>
  <c r="AB168" i="12"/>
  <c r="AE169" i="12"/>
  <c r="AE168" i="12"/>
  <c r="AB72" i="12"/>
  <c r="AC168" i="12"/>
  <c r="AI327" i="12"/>
  <c r="AH327" i="12"/>
  <c r="AG168" i="12"/>
  <c r="AF168" i="12"/>
  <c r="AH169" i="12"/>
  <c r="AH168" i="12"/>
  <c r="AG169" i="12"/>
  <c r="AJ169" i="12"/>
  <c r="AJ168" i="12"/>
  <c r="AF169" i="12"/>
  <c r="AK327" i="12"/>
  <c r="AJ327" i="12"/>
  <c r="AI72" i="12"/>
  <c r="AK72" i="12"/>
  <c r="AH72" i="12"/>
  <c r="AD72" i="12"/>
  <c r="AC72" i="12"/>
  <c r="S74" i="6"/>
  <c r="AG72" i="12"/>
  <c r="Z74" i="6"/>
  <c r="AJ72" i="12"/>
  <c r="R74" i="6"/>
  <c r="AF72" i="12"/>
  <c r="Q74" i="6"/>
  <c r="AE72" i="12"/>
  <c r="X74" i="6"/>
  <c r="AB74" i="6"/>
  <c r="AP78" i="12" s="1"/>
  <c r="W74" i="6"/>
  <c r="AA74" i="6"/>
  <c r="V74" i="6"/>
  <c r="U74" i="6"/>
  <c r="Y74" i="6"/>
  <c r="T74" i="6"/>
  <c r="P74" i="6"/>
  <c r="W42" i="6"/>
  <c r="X42" i="6"/>
  <c r="AB43" i="6" s="1"/>
  <c r="P42" i="6"/>
  <c r="Q42" i="6"/>
  <c r="R42" i="6"/>
  <c r="S42" i="6"/>
  <c r="T42" i="6"/>
  <c r="U42" i="6"/>
  <c r="V42" i="6"/>
  <c r="V85" i="6"/>
  <c r="W85" i="6"/>
  <c r="X85" i="6"/>
  <c r="T85" i="6"/>
  <c r="U85" i="6"/>
  <c r="X10" i="6"/>
  <c r="AB79" i="6" s="1"/>
  <c r="X75" i="9"/>
  <c r="X32" i="9"/>
  <c r="X30" i="9" l="1"/>
  <c r="AB78" i="12"/>
  <c r="AG110" i="12"/>
  <c r="AF110" i="12"/>
  <c r="AK78" i="12"/>
  <c r="AC110" i="12"/>
  <c r="AB110" i="12"/>
  <c r="AM78" i="12"/>
  <c r="AE110" i="12"/>
  <c r="AD110" i="12"/>
  <c r="AF78" i="12"/>
  <c r="AI78" i="12"/>
  <c r="AO78" i="12"/>
  <c r="AL78" i="12"/>
  <c r="AB84" i="6"/>
  <c r="AO116" i="12" s="1"/>
  <c r="AK110" i="12"/>
  <c r="AA84" i="6"/>
  <c r="AN116" i="12" s="1"/>
  <c r="AJ110" i="12"/>
  <c r="Z84" i="6"/>
  <c r="AI110" i="12"/>
  <c r="Y84" i="6"/>
  <c r="AL116" i="12" s="1"/>
  <c r="AH110" i="12"/>
  <c r="AJ78" i="12"/>
  <c r="AB117" i="9"/>
  <c r="AO22" i="12" s="1"/>
  <c r="AK16" i="12"/>
  <c r="AN78" i="12"/>
  <c r="AD78" i="12"/>
  <c r="AC78" i="12"/>
  <c r="AG78" i="12"/>
  <c r="AH78" i="12"/>
  <c r="AE78" i="12"/>
  <c r="Y118" i="9"/>
  <c r="Y54" i="6"/>
  <c r="Y87" i="6"/>
  <c r="AC88" i="6" s="1"/>
  <c r="C54" i="9"/>
  <c r="D54" i="9"/>
  <c r="E54" i="9"/>
  <c r="F54" i="9"/>
  <c r="G54" i="9"/>
  <c r="H54" i="9"/>
  <c r="I54" i="9"/>
  <c r="J54" i="9"/>
  <c r="K54" i="9"/>
  <c r="L54" i="9"/>
  <c r="M54" i="9"/>
  <c r="N54" i="9"/>
  <c r="O54" i="9"/>
  <c r="P54" i="9"/>
  <c r="Q54" i="9"/>
  <c r="R54" i="9"/>
  <c r="S54" i="9"/>
  <c r="T54" i="9"/>
  <c r="U54" i="9"/>
  <c r="V54" i="9"/>
  <c r="W54" i="9"/>
  <c r="X54" i="9"/>
  <c r="R10" i="6"/>
  <c r="S10" i="6"/>
  <c r="T10" i="6"/>
  <c r="U10" i="6"/>
  <c r="V10" i="6"/>
  <c r="Z79" i="6" s="1"/>
  <c r="X148" i="9"/>
  <c r="W148" i="9"/>
  <c r="V148" i="9"/>
  <c r="U148" i="9"/>
  <c r="T148" i="9"/>
  <c r="S148" i="9"/>
  <c r="R148" i="9"/>
  <c r="Q148" i="9"/>
  <c r="P148" i="9"/>
  <c r="O148" i="9"/>
  <c r="N148" i="9"/>
  <c r="M148" i="9"/>
  <c r="L148" i="9"/>
  <c r="K148" i="9"/>
  <c r="J148" i="9"/>
  <c r="I148" i="9"/>
  <c r="H148" i="9"/>
  <c r="G148" i="9"/>
  <c r="F148" i="9"/>
  <c r="E148" i="9"/>
  <c r="D148" i="9"/>
  <c r="X147" i="9"/>
  <c r="W147" i="9"/>
  <c r="V147" i="9"/>
  <c r="U147" i="9"/>
  <c r="T147" i="9"/>
  <c r="S147" i="9"/>
  <c r="R147" i="9"/>
  <c r="Q147" i="9"/>
  <c r="P147" i="9"/>
  <c r="O147" i="9"/>
  <c r="N147" i="9"/>
  <c r="M147" i="9"/>
  <c r="L147" i="9"/>
  <c r="K147" i="9"/>
  <c r="J147" i="9"/>
  <c r="I147" i="9"/>
  <c r="H147" i="9"/>
  <c r="G147" i="9"/>
  <c r="S135" i="9"/>
  <c r="T135" i="9"/>
  <c r="U135" i="9"/>
  <c r="V135" i="9"/>
  <c r="S136" i="9"/>
  <c r="T136" i="9"/>
  <c r="U136" i="9"/>
  <c r="V136" i="9"/>
  <c r="W135" i="9"/>
  <c r="W136" i="9"/>
  <c r="W125" i="9"/>
  <c r="X125" i="9"/>
  <c r="W126" i="9"/>
  <c r="X126" i="9"/>
  <c r="AB106" i="9" l="1"/>
  <c r="AB218" i="12"/>
  <c r="AB228" i="12"/>
  <c r="AC228" i="12"/>
  <c r="AC218" i="12"/>
  <c r="AD228" i="12"/>
  <c r="AD218" i="12"/>
  <c r="AD210" i="12"/>
  <c r="AF210" i="12"/>
  <c r="AB210" i="12"/>
  <c r="AM116" i="12"/>
  <c r="AE210" i="12"/>
  <c r="AE228" i="12"/>
  <c r="AE218" i="12"/>
  <c r="AG210" i="12"/>
  <c r="AC210" i="12"/>
  <c r="AJ228" i="12"/>
  <c r="AJ218" i="12"/>
  <c r="AI228" i="12"/>
  <c r="AI218" i="12"/>
  <c r="AH228" i="12"/>
  <c r="AH218" i="12"/>
  <c r="Y132" i="9"/>
  <c r="AH210" i="12"/>
  <c r="AG228" i="12"/>
  <c r="AG218" i="12"/>
  <c r="AF218" i="12"/>
  <c r="AF228" i="12"/>
  <c r="AB132" i="9"/>
  <c r="AO211" i="12" s="1"/>
  <c r="AK210" i="12"/>
  <c r="AA132" i="9"/>
  <c r="AJ210" i="12"/>
  <c r="Z132" i="9"/>
  <c r="AI210" i="12"/>
  <c r="T54" i="6"/>
  <c r="U54" i="6"/>
  <c r="Y79" i="6"/>
  <c r="V54" i="6"/>
  <c r="S54" i="6"/>
  <c r="O94" i="9"/>
  <c r="P94" i="9"/>
  <c r="Q94" i="9"/>
  <c r="R94" i="9"/>
  <c r="S94" i="9"/>
  <c r="T94" i="9"/>
  <c r="U94" i="9"/>
  <c r="Y95" i="9" s="1"/>
  <c r="V94" i="9"/>
  <c r="Z95" i="9" s="1"/>
  <c r="W94" i="9"/>
  <c r="AA95" i="9" s="1"/>
  <c r="O32" i="9"/>
  <c r="O30" i="9" s="1"/>
  <c r="P32" i="9"/>
  <c r="P30" i="9" s="1"/>
  <c r="Q32" i="9"/>
  <c r="Q30" i="9" s="1"/>
  <c r="R32" i="9"/>
  <c r="R30" i="9" s="1"/>
  <c r="S32" i="9"/>
  <c r="S30" i="9" s="1"/>
  <c r="T32" i="9"/>
  <c r="T30" i="9" s="1"/>
  <c r="U32" i="9"/>
  <c r="U30" i="9" s="1"/>
  <c r="V32" i="9"/>
  <c r="V30" i="9" s="1"/>
  <c r="W32" i="9"/>
  <c r="D10" i="9"/>
  <c r="E10" i="9"/>
  <c r="F10" i="9"/>
  <c r="G10" i="9"/>
  <c r="H10" i="9"/>
  <c r="I10" i="9"/>
  <c r="J10" i="9"/>
  <c r="K10" i="9"/>
  <c r="L10" i="9"/>
  <c r="M10" i="9"/>
  <c r="N10" i="9"/>
  <c r="C10" i="9"/>
  <c r="C32" i="9" s="1"/>
  <c r="C30" i="9" s="1"/>
  <c r="T106" i="9" l="1"/>
  <c r="U106" i="9"/>
  <c r="Y106" i="9"/>
  <c r="S106" i="9"/>
  <c r="W30" i="9"/>
  <c r="V106" i="9"/>
  <c r="Z106" i="9"/>
  <c r="X106" i="9"/>
  <c r="AE16" i="12"/>
  <c r="AN211" i="12"/>
  <c r="AL211" i="12"/>
  <c r="AD16" i="12"/>
  <c r="AJ16" i="12"/>
  <c r="AF16" i="12"/>
  <c r="AM211" i="12"/>
  <c r="Z117" i="9"/>
  <c r="AI16" i="12"/>
  <c r="P55" i="9"/>
  <c r="AC16" i="12"/>
  <c r="O55" i="9"/>
  <c r="AB16" i="12"/>
  <c r="Y117" i="9"/>
  <c r="AH16" i="12"/>
  <c r="T55" i="9"/>
  <c r="AG16" i="12"/>
  <c r="AA117" i="9"/>
  <c r="AN22" i="12" s="1"/>
  <c r="AA144" i="9"/>
  <c r="AN183" i="12" s="1"/>
  <c r="C94" i="9"/>
  <c r="V55" i="9"/>
  <c r="R55" i="9"/>
  <c r="U55" i="9"/>
  <c r="Q55" i="9"/>
  <c r="X135" i="9"/>
  <c r="K32" i="9"/>
  <c r="G32" i="9"/>
  <c r="N32" i="9"/>
  <c r="J32" i="9"/>
  <c r="F32" i="9"/>
  <c r="S55" i="9"/>
  <c r="C55" i="9"/>
  <c r="M32" i="9"/>
  <c r="I32" i="9"/>
  <c r="E32" i="9"/>
  <c r="L32" i="9"/>
  <c r="D32" i="9"/>
  <c r="K94" i="9"/>
  <c r="G94" i="9"/>
  <c r="N94" i="9"/>
  <c r="J94" i="9"/>
  <c r="F94" i="9"/>
  <c r="M94" i="9"/>
  <c r="I94" i="9"/>
  <c r="E94" i="9"/>
  <c r="H32" i="9"/>
  <c r="H115" i="9"/>
  <c r="X94" i="9"/>
  <c r="L94" i="9"/>
  <c r="H94" i="9"/>
  <c r="D94" i="9"/>
  <c r="W106" i="9" l="1"/>
  <c r="AA106" i="9"/>
  <c r="K55" i="9"/>
  <c r="K30" i="9"/>
  <c r="M55" i="9"/>
  <c r="M30" i="9"/>
  <c r="H55" i="9"/>
  <c r="H30" i="9"/>
  <c r="F55" i="9"/>
  <c r="F30" i="9"/>
  <c r="D55" i="9"/>
  <c r="D30" i="9"/>
  <c r="J55" i="9"/>
  <c r="J30" i="9"/>
  <c r="L55" i="9"/>
  <c r="L30" i="9"/>
  <c r="N55" i="9"/>
  <c r="N30" i="9"/>
  <c r="E55" i="9"/>
  <c r="E30" i="9"/>
  <c r="G55" i="9"/>
  <c r="G30" i="9"/>
  <c r="I55" i="9"/>
  <c r="I30" i="9"/>
  <c r="AC217" i="12"/>
  <c r="AB217" i="12"/>
  <c r="AE217" i="12"/>
  <c r="AD217" i="12"/>
  <c r="AG217" i="12"/>
  <c r="AF217" i="12"/>
  <c r="AI217" i="12"/>
  <c r="AH217" i="12"/>
  <c r="AL22" i="12"/>
  <c r="AB182" i="12"/>
  <c r="AM22" i="12"/>
  <c r="AE182" i="12"/>
  <c r="T67" i="9"/>
  <c r="AK217" i="12"/>
  <c r="AJ217" i="12"/>
  <c r="AC182" i="12"/>
  <c r="AD182" i="12"/>
  <c r="S187" i="9"/>
  <c r="W188" i="9" s="1"/>
  <c r="AF182" i="12"/>
  <c r="T187" i="9"/>
  <c r="X188" i="9" s="1"/>
  <c r="AG182" i="12"/>
  <c r="U187" i="9"/>
  <c r="Y188" i="9" s="1"/>
  <c r="AH182" i="12"/>
  <c r="V187" i="9"/>
  <c r="Z188" i="9" s="1"/>
  <c r="AI182" i="12"/>
  <c r="Y96" i="9"/>
  <c r="AB95" i="9"/>
  <c r="Z144" i="9"/>
  <c r="AM183" i="12" s="1"/>
  <c r="S67" i="9"/>
  <c r="Y145" i="9"/>
  <c r="X67" i="9"/>
  <c r="U67" i="9"/>
  <c r="Y144" i="9"/>
  <c r="V144" i="9"/>
  <c r="K106" i="9" l="1"/>
  <c r="O106" i="9"/>
  <c r="N106" i="9"/>
  <c r="R106" i="9"/>
  <c r="I106" i="9"/>
  <c r="L106" i="9"/>
  <c r="P106" i="9"/>
  <c r="H106" i="9"/>
  <c r="G106" i="9"/>
  <c r="J106" i="9"/>
  <c r="M106" i="9"/>
  <c r="Q106" i="9"/>
  <c r="AM41" i="12"/>
  <c r="AL41" i="12"/>
  <c r="AO41" i="12"/>
  <c r="AN41" i="12"/>
  <c r="AL183" i="12"/>
  <c r="I73" i="6"/>
  <c r="V79" i="6" l="1"/>
  <c r="X26" i="10"/>
  <c r="X18" i="10"/>
  <c r="X29" i="10"/>
  <c r="AM304" i="12" s="1"/>
  <c r="V87" i="6"/>
  <c r="Z88" i="6" s="1"/>
  <c r="X79" i="6"/>
  <c r="W10" i="6"/>
  <c r="AA79" i="6" s="1"/>
  <c r="X84" i="6"/>
  <c r="AK116" i="12" s="1"/>
  <c r="X51" i="6"/>
  <c r="AK167" i="12" s="1"/>
  <c r="X49" i="6"/>
  <c r="X48" i="6"/>
  <c r="AK97" i="12" s="1"/>
  <c r="X47" i="6"/>
  <c r="X129" i="9"/>
  <c r="X130" i="9"/>
  <c r="X131" i="9"/>
  <c r="X144" i="9"/>
  <c r="AK183" i="12" s="1"/>
  <c r="X145" i="9"/>
  <c r="X158" i="9"/>
  <c r="X159" i="9"/>
  <c r="R87" i="6"/>
  <c r="S87" i="6"/>
  <c r="T87" i="6"/>
  <c r="U87" i="6"/>
  <c r="Y88" i="6" s="1"/>
  <c r="Q84" i="6"/>
  <c r="R84" i="6"/>
  <c r="S84" i="6"/>
  <c r="T84" i="6"/>
  <c r="U84" i="6"/>
  <c r="G112" i="9"/>
  <c r="H112" i="9"/>
  <c r="I112" i="9"/>
  <c r="J112" i="9"/>
  <c r="K112" i="9"/>
  <c r="L112" i="9"/>
  <c r="M112" i="9"/>
  <c r="N112" i="9"/>
  <c r="O159" i="9"/>
  <c r="P159" i="9"/>
  <c r="Q159" i="9"/>
  <c r="R159" i="9"/>
  <c r="S159" i="9"/>
  <c r="T159" i="9"/>
  <c r="U159" i="9"/>
  <c r="V159" i="9"/>
  <c r="W159" i="9"/>
  <c r="G127" i="9"/>
  <c r="H127" i="9"/>
  <c r="I127" i="9"/>
  <c r="J127" i="9"/>
  <c r="K127" i="9"/>
  <c r="L127" i="9"/>
  <c r="M127" i="9"/>
  <c r="G128" i="9"/>
  <c r="H128" i="9"/>
  <c r="I128" i="9"/>
  <c r="J128" i="9"/>
  <c r="K128" i="9"/>
  <c r="L128" i="9"/>
  <c r="M128" i="9"/>
  <c r="G129" i="9"/>
  <c r="H129" i="9"/>
  <c r="I129" i="9"/>
  <c r="J129" i="9"/>
  <c r="K129" i="9"/>
  <c r="L129" i="9"/>
  <c r="M129" i="9"/>
  <c r="G130" i="9"/>
  <c r="H130" i="9"/>
  <c r="I130" i="9"/>
  <c r="J130" i="9"/>
  <c r="K130" i="9"/>
  <c r="L130" i="9"/>
  <c r="M130" i="9"/>
  <c r="S158" i="9"/>
  <c r="T158" i="9"/>
  <c r="U158" i="9"/>
  <c r="V158" i="9"/>
  <c r="W158" i="9"/>
  <c r="AG116" i="12" l="1"/>
  <c r="AD116" i="12"/>
  <c r="AC116" i="12"/>
  <c r="X33" i="10"/>
  <c r="AB31" i="10"/>
  <c r="W79" i="6"/>
  <c r="W54" i="6"/>
  <c r="X54" i="6"/>
  <c r="V88" i="6"/>
  <c r="X20" i="10"/>
  <c r="X140" i="9"/>
  <c r="AK221" i="12" s="1"/>
  <c r="X154" i="9"/>
  <c r="X142" i="9"/>
  <c r="X138" i="9"/>
  <c r="X139" i="9"/>
  <c r="AK220" i="12" s="1"/>
  <c r="X141" i="9"/>
  <c r="AK222" i="12" s="1"/>
  <c r="V84" i="6"/>
  <c r="AH116" i="12" s="1"/>
  <c r="W84" i="6"/>
  <c r="AJ116" i="12" s="1"/>
  <c r="G132" i="9"/>
  <c r="AB116" i="12" l="1"/>
  <c r="AE116" i="12"/>
  <c r="AF116" i="12"/>
  <c r="AI116" i="12"/>
  <c r="AK237" i="12"/>
  <c r="AK219" i="12"/>
  <c r="X34" i="10"/>
  <c r="AM320" i="12"/>
  <c r="X61" i="9"/>
  <c r="X19" i="10"/>
  <c r="AM287" i="12" s="1"/>
  <c r="X56" i="9"/>
  <c r="AK190" i="12" s="1"/>
  <c r="X30" i="10"/>
  <c r="AM309" i="12" s="1"/>
  <c r="D29" i="10" l="1"/>
  <c r="D33" i="10" s="1"/>
  <c r="E29" i="10"/>
  <c r="E33" i="10" s="1"/>
  <c r="F29" i="10"/>
  <c r="F33" i="10" s="1"/>
  <c r="G29" i="10"/>
  <c r="G33" i="10" s="1"/>
  <c r="G34" i="10" s="1"/>
  <c r="H29" i="10"/>
  <c r="I29" i="10"/>
  <c r="I33" i="10" s="1"/>
  <c r="I34" i="10" s="1"/>
  <c r="J29" i="10"/>
  <c r="K29" i="10"/>
  <c r="K33" i="10" s="1"/>
  <c r="K34" i="10" s="1"/>
  <c r="L29" i="10"/>
  <c r="M29" i="10"/>
  <c r="N29" i="10"/>
  <c r="O29" i="10"/>
  <c r="P29" i="10"/>
  <c r="Q29" i="10"/>
  <c r="R29" i="10"/>
  <c r="S29" i="10"/>
  <c r="T29" i="10"/>
  <c r="U29" i="10"/>
  <c r="V29" i="10"/>
  <c r="AK304" i="12" s="1"/>
  <c r="W29" i="10"/>
  <c r="C29" i="10"/>
  <c r="D48" i="6"/>
  <c r="AG304" i="12" l="1"/>
  <c r="AJ304" i="12"/>
  <c r="AE304" i="12"/>
  <c r="AI304" i="12"/>
  <c r="AA31" i="10"/>
  <c r="AL304" i="12"/>
  <c r="S33" i="10"/>
  <c r="AH304" i="12"/>
  <c r="Q33" i="10"/>
  <c r="AF304" i="12"/>
  <c r="O31" i="10"/>
  <c r="AD304" i="12"/>
  <c r="M33" i="10"/>
  <c r="AB304" i="12"/>
  <c r="N33" i="10"/>
  <c r="AC304" i="12"/>
  <c r="P31" i="10"/>
  <c r="V33" i="10"/>
  <c r="Z31" i="10"/>
  <c r="U33" i="10"/>
  <c r="Y31" i="10"/>
  <c r="R31" i="10"/>
  <c r="L31" i="10"/>
  <c r="T31" i="10"/>
  <c r="X31" i="10"/>
  <c r="J31" i="10"/>
  <c r="H31" i="10"/>
  <c r="P33" i="10"/>
  <c r="O33" i="10"/>
  <c r="H33" i="10"/>
  <c r="H34" i="10" s="1"/>
  <c r="K31" i="10"/>
  <c r="C33" i="10"/>
  <c r="G31" i="10"/>
  <c r="W31" i="10"/>
  <c r="T33" i="10"/>
  <c r="L33" i="10"/>
  <c r="L34" i="10" s="1"/>
  <c r="S31" i="10"/>
  <c r="V31" i="10"/>
  <c r="N31" i="10"/>
  <c r="U31" i="10"/>
  <c r="Q31" i="10"/>
  <c r="M31" i="10"/>
  <c r="I31" i="10"/>
  <c r="R33" i="10"/>
  <c r="J33" i="10"/>
  <c r="J34" i="10" s="1"/>
  <c r="C31" i="6"/>
  <c r="C32" i="6" s="1"/>
  <c r="C47" i="6"/>
  <c r="C66" i="6" s="1"/>
  <c r="D47" i="6"/>
  <c r="D66" i="6" s="1"/>
  <c r="G73" i="6"/>
  <c r="H73" i="6"/>
  <c r="H51" i="6"/>
  <c r="I49" i="6"/>
  <c r="J49" i="6"/>
  <c r="K49" i="6"/>
  <c r="L49" i="6"/>
  <c r="M49" i="6"/>
  <c r="N49" i="6"/>
  <c r="O49" i="6"/>
  <c r="P49" i="6"/>
  <c r="Q49" i="6"/>
  <c r="R49" i="6"/>
  <c r="S49" i="6"/>
  <c r="T49" i="6"/>
  <c r="U49" i="6"/>
  <c r="V49" i="6"/>
  <c r="W49" i="6"/>
  <c r="H49" i="6"/>
  <c r="F48" i="6"/>
  <c r="G48" i="6"/>
  <c r="H48" i="6"/>
  <c r="I48" i="6"/>
  <c r="J48" i="6"/>
  <c r="K48" i="6"/>
  <c r="L48" i="6"/>
  <c r="M48" i="6"/>
  <c r="N48" i="6"/>
  <c r="O48" i="6"/>
  <c r="P48" i="6"/>
  <c r="Q48" i="6"/>
  <c r="R48" i="6"/>
  <c r="S48" i="6"/>
  <c r="T48" i="6"/>
  <c r="U48" i="6"/>
  <c r="AH97" i="12" s="1"/>
  <c r="V48" i="6"/>
  <c r="W48" i="6"/>
  <c r="AJ97" i="12" s="1"/>
  <c r="E48" i="6"/>
  <c r="E47" i="6"/>
  <c r="E66" i="6" s="1"/>
  <c r="F47" i="6"/>
  <c r="F66" i="6" s="1"/>
  <c r="G47" i="6"/>
  <c r="G66" i="6" s="1"/>
  <c r="H47" i="6"/>
  <c r="H66" i="6" s="1"/>
  <c r="I47" i="6"/>
  <c r="I66" i="6" s="1"/>
  <c r="J47" i="6"/>
  <c r="J66" i="6" s="1"/>
  <c r="K47" i="6"/>
  <c r="K66" i="6" s="1"/>
  <c r="L47" i="6"/>
  <c r="L66" i="6" s="1"/>
  <c r="M47" i="6"/>
  <c r="M66" i="6" s="1"/>
  <c r="N47" i="6"/>
  <c r="N66" i="6" s="1"/>
  <c r="O47" i="6"/>
  <c r="P47" i="6"/>
  <c r="Q47" i="6"/>
  <c r="R47" i="6"/>
  <c r="S47" i="6"/>
  <c r="T47" i="6"/>
  <c r="U47" i="6"/>
  <c r="V47" i="6"/>
  <c r="W47" i="6"/>
  <c r="G35" i="6"/>
  <c r="H35" i="6"/>
  <c r="I35" i="6"/>
  <c r="J35" i="6"/>
  <c r="K35" i="6"/>
  <c r="L35" i="6"/>
  <c r="M35" i="6"/>
  <c r="N35" i="6"/>
  <c r="E35" i="6"/>
  <c r="F35" i="6"/>
  <c r="D35" i="6"/>
  <c r="D31" i="6"/>
  <c r="E31" i="6"/>
  <c r="F31" i="6"/>
  <c r="G31" i="6"/>
  <c r="H31" i="6"/>
  <c r="I31" i="6"/>
  <c r="J31" i="6"/>
  <c r="K31" i="6"/>
  <c r="L31" i="6"/>
  <c r="M31" i="6"/>
  <c r="N31" i="6"/>
  <c r="J73" i="6"/>
  <c r="K73" i="6"/>
  <c r="L73" i="6"/>
  <c r="M73" i="6"/>
  <c r="N73" i="6"/>
  <c r="P26" i="10"/>
  <c r="Q26" i="10"/>
  <c r="R26" i="10"/>
  <c r="S26" i="10"/>
  <c r="T26" i="10"/>
  <c r="U26" i="10"/>
  <c r="V26" i="10"/>
  <c r="W26" i="10"/>
  <c r="G18" i="10"/>
  <c r="H18" i="10"/>
  <c r="I18" i="10"/>
  <c r="J18" i="10"/>
  <c r="K18" i="10"/>
  <c r="L18" i="10"/>
  <c r="M18" i="10"/>
  <c r="N18" i="10"/>
  <c r="O18" i="10"/>
  <c r="P18" i="10"/>
  <c r="Q18" i="10"/>
  <c r="R18" i="10"/>
  <c r="S18" i="10"/>
  <c r="T18" i="10"/>
  <c r="U18" i="10"/>
  <c r="V18" i="10"/>
  <c r="W18" i="10"/>
  <c r="O24" i="10"/>
  <c r="P24" i="10"/>
  <c r="Q24" i="10"/>
  <c r="T24" i="10"/>
  <c r="U24" i="10"/>
  <c r="R24" i="10"/>
  <c r="S24" i="10"/>
  <c r="V24" i="10"/>
  <c r="W24" i="10"/>
  <c r="AL277" i="12" s="1"/>
  <c r="L158" i="9"/>
  <c r="M158" i="9"/>
  <c r="N158" i="9"/>
  <c r="O158" i="9"/>
  <c r="P158" i="9"/>
  <c r="Q158" i="9"/>
  <c r="R158" i="9"/>
  <c r="K158" i="9"/>
  <c r="G144" i="9"/>
  <c r="D145" i="9"/>
  <c r="Q127" i="9"/>
  <c r="R127" i="9"/>
  <c r="Q128" i="9"/>
  <c r="R128" i="9"/>
  <c r="S128" i="9"/>
  <c r="T128" i="9"/>
  <c r="U128" i="9"/>
  <c r="V128" i="9"/>
  <c r="W128" i="9"/>
  <c r="Q129" i="9"/>
  <c r="R129" i="9"/>
  <c r="S129" i="9"/>
  <c r="T129" i="9"/>
  <c r="U129" i="9"/>
  <c r="V129" i="9"/>
  <c r="W129" i="9"/>
  <c r="Q130" i="9"/>
  <c r="R130" i="9"/>
  <c r="S130" i="9"/>
  <c r="T130" i="9"/>
  <c r="U130" i="9"/>
  <c r="V130" i="9"/>
  <c r="W130" i="9"/>
  <c r="W131" i="9"/>
  <c r="N127" i="9"/>
  <c r="O127" i="9"/>
  <c r="P127" i="9"/>
  <c r="N128" i="9"/>
  <c r="O128" i="9"/>
  <c r="P128" i="9"/>
  <c r="N129" i="9"/>
  <c r="O129" i="9"/>
  <c r="P129" i="9"/>
  <c r="N130" i="9"/>
  <c r="O130" i="9"/>
  <c r="P130" i="9"/>
  <c r="E110" i="9"/>
  <c r="F110" i="9"/>
  <c r="G110" i="9"/>
  <c r="H110" i="9"/>
  <c r="I110" i="9"/>
  <c r="J110" i="9"/>
  <c r="K110" i="9"/>
  <c r="L110" i="9"/>
  <c r="M110" i="9"/>
  <c r="N110" i="9"/>
  <c r="E111" i="9"/>
  <c r="F111" i="9"/>
  <c r="G111" i="9"/>
  <c r="H111" i="9"/>
  <c r="I111" i="9"/>
  <c r="J111" i="9"/>
  <c r="K111" i="9"/>
  <c r="L111" i="9"/>
  <c r="M111" i="9"/>
  <c r="N111" i="9"/>
  <c r="D111" i="9"/>
  <c r="D110" i="9"/>
  <c r="H108" i="9"/>
  <c r="I108" i="9"/>
  <c r="J108" i="9"/>
  <c r="K108" i="9"/>
  <c r="L108" i="9"/>
  <c r="M108" i="9"/>
  <c r="N108" i="9"/>
  <c r="H109" i="9"/>
  <c r="I109" i="9"/>
  <c r="J109" i="9"/>
  <c r="K109" i="9"/>
  <c r="L109" i="9"/>
  <c r="M109" i="9"/>
  <c r="N109" i="9"/>
  <c r="G109" i="9"/>
  <c r="G108" i="9"/>
  <c r="X156" i="9"/>
  <c r="AK271" i="12" s="1"/>
  <c r="X132" i="9"/>
  <c r="AK211" i="12" s="1"/>
  <c r="J142" i="9"/>
  <c r="N142" i="9"/>
  <c r="P142" i="9"/>
  <c r="Q142" i="9"/>
  <c r="R142" i="9"/>
  <c r="V142" i="9"/>
  <c r="AD97" i="12" l="1"/>
  <c r="AC97" i="12"/>
  <c r="AG97" i="12"/>
  <c r="AF97" i="12"/>
  <c r="AI97" i="12"/>
  <c r="AE97" i="12"/>
  <c r="AB97" i="12"/>
  <c r="AB277" i="12"/>
  <c r="AF277" i="12"/>
  <c r="AJ277" i="12"/>
  <c r="AH277" i="12"/>
  <c r="AI277" i="12"/>
  <c r="AE277" i="12"/>
  <c r="AD277" i="12"/>
  <c r="AC277" i="12"/>
  <c r="AK277" i="12"/>
  <c r="K81" i="6"/>
  <c r="AG277" i="12"/>
  <c r="R34" i="10"/>
  <c r="P34" i="10"/>
  <c r="U34" i="10"/>
  <c r="V34" i="10"/>
  <c r="T34" i="10"/>
  <c r="O34" i="10"/>
  <c r="N34" i="10"/>
  <c r="M34" i="10"/>
  <c r="Q34" i="10"/>
  <c r="S34" i="10"/>
  <c r="M81" i="6"/>
  <c r="N81" i="6"/>
  <c r="I137" i="9"/>
  <c r="I140" i="9"/>
  <c r="I139" i="9"/>
  <c r="I138" i="9"/>
  <c r="I142" i="9"/>
  <c r="D140" i="9"/>
  <c r="D139" i="9"/>
  <c r="D138" i="9"/>
  <c r="D137" i="9"/>
  <c r="D142" i="9"/>
  <c r="T139" i="9"/>
  <c r="T142" i="9"/>
  <c r="L139" i="9"/>
  <c r="L142" i="9"/>
  <c r="H140" i="9"/>
  <c r="H139" i="9"/>
  <c r="H138" i="9"/>
  <c r="H137" i="9"/>
  <c r="H142" i="9"/>
  <c r="C139" i="9"/>
  <c r="C138" i="9"/>
  <c r="C142" i="9"/>
  <c r="C137" i="9"/>
  <c r="C140" i="9"/>
  <c r="U139" i="9"/>
  <c r="U142" i="9"/>
  <c r="M139" i="9"/>
  <c r="M142" i="9"/>
  <c r="E137" i="9"/>
  <c r="E140" i="9"/>
  <c r="E139" i="9"/>
  <c r="E138" i="9"/>
  <c r="E142" i="9"/>
  <c r="W20" i="10"/>
  <c r="W141" i="9"/>
  <c r="AJ222" i="12" s="1"/>
  <c r="W138" i="9"/>
  <c r="W142" i="9"/>
  <c r="W139" i="9"/>
  <c r="AJ220" i="12" s="1"/>
  <c r="W140" i="9"/>
  <c r="AJ221" i="12" s="1"/>
  <c r="S20" i="10"/>
  <c r="S142" i="9"/>
  <c r="O140" i="9"/>
  <c r="O142" i="9"/>
  <c r="K137" i="9"/>
  <c r="K142" i="9"/>
  <c r="G20" i="10"/>
  <c r="G139" i="9"/>
  <c r="G138" i="9"/>
  <c r="G142" i="9"/>
  <c r="G137" i="9"/>
  <c r="G140" i="9"/>
  <c r="F138" i="9"/>
  <c r="F137" i="9"/>
  <c r="F140" i="9"/>
  <c r="F139" i="9"/>
  <c r="F142" i="9"/>
  <c r="L81" i="6"/>
  <c r="K20" i="10"/>
  <c r="P140" i="9"/>
  <c r="O137" i="9"/>
  <c r="O20" i="10"/>
  <c r="V61" i="9"/>
  <c r="V141" i="9"/>
  <c r="AI222" i="12" s="1"/>
  <c r="R56" i="9"/>
  <c r="N61" i="9"/>
  <c r="J56" i="9"/>
  <c r="U141" i="9"/>
  <c r="AH222" i="12" s="1"/>
  <c r="Q137" i="9"/>
  <c r="M137" i="9"/>
  <c r="V20" i="10"/>
  <c r="R20" i="10"/>
  <c r="N20" i="10"/>
  <c r="J20" i="10"/>
  <c r="F20" i="10"/>
  <c r="D61" i="9"/>
  <c r="X117" i="9"/>
  <c r="AK22" i="12" s="1"/>
  <c r="T141" i="9"/>
  <c r="P56" i="9"/>
  <c r="L56" i="9"/>
  <c r="H61" i="9"/>
  <c r="T140" i="9"/>
  <c r="L140" i="9"/>
  <c r="Q139" i="9"/>
  <c r="U20" i="10"/>
  <c r="Q20" i="10"/>
  <c r="M20" i="10"/>
  <c r="I20" i="10"/>
  <c r="E20" i="10"/>
  <c r="X118" i="9"/>
  <c r="S141" i="9"/>
  <c r="K56" i="9"/>
  <c r="S140" i="9"/>
  <c r="K140" i="9"/>
  <c r="P139" i="9"/>
  <c r="C20" i="10"/>
  <c r="T20" i="10"/>
  <c r="P20" i="10"/>
  <c r="L20" i="10"/>
  <c r="H20" i="10"/>
  <c r="D20" i="10"/>
  <c r="J32" i="6"/>
  <c r="J69" i="6"/>
  <c r="J70" i="6"/>
  <c r="I32" i="6"/>
  <c r="I69" i="6"/>
  <c r="I70" i="6"/>
  <c r="K32" i="6"/>
  <c r="K69" i="6"/>
  <c r="K70" i="6"/>
  <c r="G32" i="6"/>
  <c r="G75" i="6" s="1"/>
  <c r="G70" i="6"/>
  <c r="G69" i="6"/>
  <c r="D32" i="6"/>
  <c r="D70" i="6"/>
  <c r="N32" i="6"/>
  <c r="N69" i="6"/>
  <c r="N70" i="6"/>
  <c r="F32" i="6"/>
  <c r="F70" i="6"/>
  <c r="M32" i="6"/>
  <c r="M70" i="6"/>
  <c r="M69" i="6"/>
  <c r="E32" i="6"/>
  <c r="E70" i="6"/>
  <c r="L32" i="6"/>
  <c r="L70" i="6"/>
  <c r="L69" i="6"/>
  <c r="H32" i="6"/>
  <c r="H69" i="6"/>
  <c r="H70" i="6"/>
  <c r="G72" i="6"/>
  <c r="H72" i="6"/>
  <c r="G82" i="6"/>
  <c r="F82" i="6"/>
  <c r="I81" i="6"/>
  <c r="H81" i="6"/>
  <c r="J81" i="6"/>
  <c r="E82" i="6"/>
  <c r="J137" i="9"/>
  <c r="V138" i="9"/>
  <c r="R138" i="9"/>
  <c r="N138" i="9"/>
  <c r="J138" i="9"/>
  <c r="U140" i="9"/>
  <c r="Q140" i="9"/>
  <c r="M140" i="9"/>
  <c r="V139" i="9"/>
  <c r="R139" i="9"/>
  <c r="N139" i="9"/>
  <c r="S138" i="9"/>
  <c r="O138" i="9"/>
  <c r="K138" i="9"/>
  <c r="P137" i="9"/>
  <c r="L137" i="9"/>
  <c r="J140" i="9"/>
  <c r="U138" i="9"/>
  <c r="Q138" i="9"/>
  <c r="M138" i="9"/>
  <c r="R137" i="9"/>
  <c r="N137" i="9"/>
  <c r="J139" i="9"/>
  <c r="V140" i="9"/>
  <c r="R140" i="9"/>
  <c r="N140" i="9"/>
  <c r="S139" i="9"/>
  <c r="O139" i="9"/>
  <c r="K139" i="9"/>
  <c r="T138" i="9"/>
  <c r="P138" i="9"/>
  <c r="L138" i="9"/>
  <c r="K115" i="9"/>
  <c r="J115" i="9"/>
  <c r="X96" i="9"/>
  <c r="G115" i="9"/>
  <c r="N115" i="9"/>
  <c r="F115" i="9"/>
  <c r="C115" i="9"/>
  <c r="M115" i="9"/>
  <c r="I115" i="9"/>
  <c r="E115" i="9"/>
  <c r="X95" i="9"/>
  <c r="AK41" i="12" s="1"/>
  <c r="L115" i="9"/>
  <c r="D115" i="9"/>
  <c r="AB222" i="12" l="1"/>
  <c r="AE220" i="12"/>
  <c r="AF221" i="12"/>
  <c r="AB220" i="12"/>
  <c r="AC221" i="12"/>
  <c r="AD222" i="12"/>
  <c r="AC222" i="12"/>
  <c r="AG220" i="12"/>
  <c r="AI220" i="12"/>
  <c r="AD220" i="12"/>
  <c r="AE221" i="12"/>
  <c r="AI221" i="12"/>
  <c r="AF222" i="12"/>
  <c r="AE222" i="12"/>
  <c r="AF220" i="12"/>
  <c r="AG222" i="12"/>
  <c r="AD221" i="12"/>
  <c r="AG221" i="12"/>
  <c r="AH220" i="12"/>
  <c r="AH221" i="12"/>
  <c r="AC220" i="12"/>
  <c r="AB221" i="12"/>
  <c r="AF219" i="12"/>
  <c r="AF237" i="12"/>
  <c r="AC219" i="12"/>
  <c r="AC237" i="12"/>
  <c r="AD219" i="12"/>
  <c r="AD237" i="12"/>
  <c r="AG237" i="12"/>
  <c r="AG219" i="12"/>
  <c r="AH219" i="12"/>
  <c r="AH237" i="12"/>
  <c r="AJ237" i="12"/>
  <c r="AJ219" i="12"/>
  <c r="AE237" i="12"/>
  <c r="AE219" i="12"/>
  <c r="AI237" i="12"/>
  <c r="AI219" i="12"/>
  <c r="AB237" i="12"/>
  <c r="AB219" i="12"/>
  <c r="G95" i="9"/>
  <c r="M75" i="6"/>
  <c r="K76" i="6"/>
  <c r="I75" i="6"/>
  <c r="F61" i="9"/>
  <c r="S95" i="9"/>
  <c r="D56" i="9"/>
  <c r="L76" i="6"/>
  <c r="N76" i="6"/>
  <c r="M76" i="6"/>
  <c r="K75" i="6"/>
  <c r="F76" i="6"/>
  <c r="I30" i="10"/>
  <c r="I19" i="10"/>
  <c r="C30" i="10"/>
  <c r="C19" i="10"/>
  <c r="G19" i="10"/>
  <c r="G30" i="10"/>
  <c r="K61" i="9"/>
  <c r="K30" i="10"/>
  <c r="K19" i="10"/>
  <c r="O61" i="9"/>
  <c r="O19" i="10"/>
  <c r="O30" i="10"/>
  <c r="S61" i="9"/>
  <c r="S30" i="10"/>
  <c r="S19" i="10"/>
  <c r="T96" i="9"/>
  <c r="O56" i="9"/>
  <c r="E30" i="10"/>
  <c r="E19" i="10"/>
  <c r="U30" i="10"/>
  <c r="U19" i="10"/>
  <c r="W61" i="9"/>
  <c r="W19" i="10"/>
  <c r="AL287" i="12" s="1"/>
  <c r="W30" i="10"/>
  <c r="AL309" i="12" s="1"/>
  <c r="H19" i="10"/>
  <c r="H30" i="10"/>
  <c r="L61" i="9"/>
  <c r="L30" i="10"/>
  <c r="L19" i="10"/>
  <c r="P61" i="9"/>
  <c r="P30" i="10"/>
  <c r="P19" i="10"/>
  <c r="T61" i="9"/>
  <c r="T30" i="10"/>
  <c r="T19" i="10"/>
  <c r="G61" i="9"/>
  <c r="S56" i="9"/>
  <c r="T56" i="9"/>
  <c r="Q30" i="10"/>
  <c r="Q19" i="10"/>
  <c r="G56" i="9"/>
  <c r="W56" i="9"/>
  <c r="AJ190" i="12" s="1"/>
  <c r="H56" i="9"/>
  <c r="M19" i="10"/>
  <c r="M30" i="10"/>
  <c r="I76" i="6"/>
  <c r="G76" i="6"/>
  <c r="E76" i="6"/>
  <c r="N75" i="6"/>
  <c r="D30" i="10"/>
  <c r="D19" i="10"/>
  <c r="F56" i="9"/>
  <c r="F30" i="10"/>
  <c r="F19" i="10"/>
  <c r="J61" i="9"/>
  <c r="J30" i="10"/>
  <c r="J19" i="10"/>
  <c r="N56" i="9"/>
  <c r="N30" i="10"/>
  <c r="N19" i="10"/>
  <c r="R61" i="9"/>
  <c r="R30" i="10"/>
  <c r="R19" i="10"/>
  <c r="V56" i="9"/>
  <c r="V30" i="10"/>
  <c r="V19" i="10"/>
  <c r="AK287" i="12" s="1"/>
  <c r="J76" i="6"/>
  <c r="D76" i="6"/>
  <c r="H76" i="6"/>
  <c r="H75" i="6"/>
  <c r="L75" i="6"/>
  <c r="J75" i="6"/>
  <c r="G96" i="9"/>
  <c r="V95" i="9"/>
  <c r="V96" i="9"/>
  <c r="D96" i="9"/>
  <c r="E96" i="9"/>
  <c r="U96" i="9"/>
  <c r="O95" i="9"/>
  <c r="O96" i="9"/>
  <c r="J95" i="9"/>
  <c r="J96" i="9"/>
  <c r="K96" i="9"/>
  <c r="L96" i="9"/>
  <c r="K95" i="9"/>
  <c r="M96" i="9"/>
  <c r="N95" i="9"/>
  <c r="N96" i="9"/>
  <c r="P95" i="9"/>
  <c r="P96" i="9"/>
  <c r="I95" i="9"/>
  <c r="I96" i="9"/>
  <c r="H96" i="9"/>
  <c r="Q95" i="9"/>
  <c r="Q96" i="9"/>
  <c r="F96" i="9"/>
  <c r="W95" i="9"/>
  <c r="AJ41" i="12" s="1"/>
  <c r="W96" i="9"/>
  <c r="R95" i="9"/>
  <c r="R96" i="9"/>
  <c r="S96" i="9"/>
  <c r="Q61" i="9"/>
  <c r="Q56" i="9"/>
  <c r="T95" i="9"/>
  <c r="AG41" i="12" s="1"/>
  <c r="M61" i="9"/>
  <c r="M56" i="9"/>
  <c r="U95" i="9"/>
  <c r="H95" i="9"/>
  <c r="I61" i="9"/>
  <c r="I56" i="9"/>
  <c r="C56" i="9"/>
  <c r="C61" i="9"/>
  <c r="L95" i="9"/>
  <c r="E61" i="9"/>
  <c r="E56" i="9"/>
  <c r="M95" i="9"/>
  <c r="U61" i="9"/>
  <c r="U56" i="9"/>
  <c r="AH190" i="12" s="1"/>
  <c r="M144" i="9"/>
  <c r="I144" i="9"/>
  <c r="J144" i="9"/>
  <c r="K144" i="9"/>
  <c r="L144" i="9"/>
  <c r="N144" i="9"/>
  <c r="O144" i="9"/>
  <c r="P144" i="9"/>
  <c r="Q144" i="9"/>
  <c r="R144" i="9"/>
  <c r="S144" i="9"/>
  <c r="T144" i="9"/>
  <c r="AG183" i="12" s="1"/>
  <c r="U144" i="9"/>
  <c r="AH183" i="12" s="1"/>
  <c r="W144" i="9"/>
  <c r="I145" i="9"/>
  <c r="J145" i="9"/>
  <c r="K145" i="9"/>
  <c r="L145" i="9"/>
  <c r="M145" i="9"/>
  <c r="N145" i="9"/>
  <c r="O145" i="9"/>
  <c r="P145" i="9"/>
  <c r="Q145" i="9"/>
  <c r="R145" i="9"/>
  <c r="S145" i="9"/>
  <c r="T145" i="9"/>
  <c r="U145" i="9"/>
  <c r="V145" i="9"/>
  <c r="W145" i="9"/>
  <c r="F145" i="9"/>
  <c r="G145" i="9"/>
  <c r="H145" i="9"/>
  <c r="E145" i="9"/>
  <c r="H144" i="9"/>
  <c r="J132" i="9"/>
  <c r="N132" i="9"/>
  <c r="O132" i="9"/>
  <c r="Q132" i="9"/>
  <c r="R132" i="9"/>
  <c r="S132" i="9"/>
  <c r="U132" i="9"/>
  <c r="V132" i="9"/>
  <c r="W132" i="9"/>
  <c r="AJ211" i="12" s="1"/>
  <c r="AB190" i="12" l="1"/>
  <c r="AC183" i="12"/>
  <c r="AC287" i="12"/>
  <c r="AH211" i="12"/>
  <c r="AD190" i="12"/>
  <c r="AC309" i="12"/>
  <c r="AD41" i="12"/>
  <c r="AD183" i="12"/>
  <c r="AI41" i="12"/>
  <c r="AF41" i="12"/>
  <c r="AG190" i="12"/>
  <c r="AF183" i="12"/>
  <c r="AI211" i="12"/>
  <c r="AJ183" i="12"/>
  <c r="AI183" i="12"/>
  <c r="AE183" i="12"/>
  <c r="AI190" i="12"/>
  <c r="AD309" i="12"/>
  <c r="AH41" i="12"/>
  <c r="AE41" i="12"/>
  <c r="AB41" i="12"/>
  <c r="AF309" i="12"/>
  <c r="AB183" i="12"/>
  <c r="AC41" i="12"/>
  <c r="AF190" i="12"/>
  <c r="AC190" i="12"/>
  <c r="AE190" i="12"/>
  <c r="AI287" i="12"/>
  <c r="AB287" i="12"/>
  <c r="AJ309" i="12"/>
  <c r="AD287" i="12"/>
  <c r="AG287" i="12"/>
  <c r="AG309" i="12"/>
  <c r="AF287" i="12"/>
  <c r="AE287" i="12"/>
  <c r="AE309" i="12"/>
  <c r="AI309" i="12"/>
  <c r="AK309" i="12"/>
  <c r="AH287" i="12"/>
  <c r="AH309" i="12"/>
  <c r="AB309" i="12"/>
  <c r="AJ287" i="12"/>
  <c r="K132" i="9"/>
  <c r="M132" i="9"/>
  <c r="H132" i="9"/>
  <c r="L132" i="9"/>
  <c r="I132" i="9"/>
  <c r="I72" i="6" l="1"/>
  <c r="M72" i="6"/>
  <c r="N72" i="6"/>
  <c r="I51" i="6"/>
  <c r="J51" i="6"/>
  <c r="K51" i="6"/>
  <c r="L51" i="6"/>
  <c r="M51" i="6"/>
  <c r="N51" i="6"/>
  <c r="O51" i="6"/>
  <c r="P51" i="6"/>
  <c r="Q51" i="6"/>
  <c r="AD167" i="12" s="1"/>
  <c r="R51" i="6"/>
  <c r="S51" i="6"/>
  <c r="AF167" i="12" s="1"/>
  <c r="T51" i="6"/>
  <c r="U51" i="6"/>
  <c r="W51" i="6"/>
  <c r="AJ167" i="12" s="1"/>
  <c r="V51" i="6"/>
  <c r="AI167" i="12" s="1"/>
  <c r="W156" i="9"/>
  <c r="AJ271" i="12" s="1"/>
  <c r="S154" i="9"/>
  <c r="T154" i="9"/>
  <c r="U154" i="9"/>
  <c r="W154" i="9"/>
  <c r="V154" i="9"/>
  <c r="C45" i="6"/>
  <c r="D45" i="6"/>
  <c r="E45" i="6"/>
  <c r="F45" i="6"/>
  <c r="G45" i="6"/>
  <c r="H45" i="6"/>
  <c r="I45" i="6"/>
  <c r="J45" i="6"/>
  <c r="K45" i="6"/>
  <c r="L45" i="6"/>
  <c r="M45" i="6"/>
  <c r="N45" i="6"/>
  <c r="O45" i="6"/>
  <c r="P45" i="6"/>
  <c r="Q45" i="6"/>
  <c r="R45" i="6"/>
  <c r="S45" i="6"/>
  <c r="T45" i="6"/>
  <c r="U45" i="6"/>
  <c r="V45" i="6"/>
  <c r="W45" i="6"/>
  <c r="AC167" i="12" l="1"/>
  <c r="AB167" i="12"/>
  <c r="AG167" i="12"/>
  <c r="AE167" i="12"/>
  <c r="AH167" i="12"/>
  <c r="K72" i="6"/>
  <c r="J72" i="6"/>
  <c r="T132" i="9"/>
  <c r="P132" i="9"/>
  <c r="L72" i="6"/>
  <c r="H82" i="6"/>
  <c r="I82" i="6"/>
  <c r="J82" i="6"/>
  <c r="K82" i="6"/>
  <c r="L82" i="6"/>
  <c r="M82" i="6"/>
  <c r="N82" i="6"/>
  <c r="AE211" i="12" l="1"/>
  <c r="AD211" i="12"/>
  <c r="AC211" i="12"/>
  <c r="AB211" i="12"/>
  <c r="AG211" i="12"/>
  <c r="AF211" i="12"/>
  <c r="W117" i="9"/>
  <c r="AJ22" i="12" s="1"/>
  <c r="W118" i="9"/>
  <c r="C88" i="9" l="1"/>
  <c r="D88" i="9"/>
  <c r="E88" i="9"/>
  <c r="F88" i="9"/>
  <c r="G88" i="9"/>
  <c r="H88" i="9"/>
  <c r="I88" i="9"/>
  <c r="J88" i="9"/>
  <c r="K88" i="9"/>
  <c r="L88" i="9"/>
  <c r="M88" i="9"/>
  <c r="N88" i="9"/>
  <c r="O88" i="9"/>
  <c r="E118" i="9"/>
  <c r="F118" i="9"/>
  <c r="G118" i="9"/>
  <c r="H118" i="9"/>
  <c r="I118" i="9"/>
  <c r="J118" i="9"/>
  <c r="K118" i="9"/>
  <c r="L118" i="9"/>
  <c r="M118" i="9"/>
  <c r="N118" i="9"/>
  <c r="O118" i="9"/>
  <c r="P118" i="9"/>
  <c r="Q118" i="9"/>
  <c r="R118" i="9"/>
  <c r="S118" i="9"/>
  <c r="T118" i="9"/>
  <c r="U118" i="9"/>
  <c r="V118" i="9"/>
  <c r="G117" i="9"/>
  <c r="H117" i="9"/>
  <c r="I117" i="9"/>
  <c r="J117" i="9"/>
  <c r="K117" i="9"/>
  <c r="L117" i="9"/>
  <c r="M117" i="9"/>
  <c r="N117" i="9"/>
  <c r="O117" i="9"/>
  <c r="AB22" i="12" s="1"/>
  <c r="P117" i="9"/>
  <c r="Q117" i="9"/>
  <c r="AD22" i="12" s="1"/>
  <c r="R117" i="9"/>
  <c r="S117" i="9"/>
  <c r="AF22" i="12" s="1"/>
  <c r="T117" i="9"/>
  <c r="U117" i="9"/>
  <c r="AH22" i="12" s="1"/>
  <c r="V117" i="9"/>
  <c r="AI22" i="12" s="1"/>
  <c r="AG22" i="12" l="1"/>
  <c r="AC22" i="12"/>
  <c r="AE22" i="12"/>
  <c r="W87" i="6"/>
  <c r="X87" i="6"/>
  <c r="O67" i="9"/>
  <c r="O76" i="9"/>
  <c r="O154" i="9"/>
  <c r="N67" i="9"/>
  <c r="N76" i="9"/>
  <c r="N154" i="9"/>
  <c r="W33" i="10"/>
  <c r="AC320" i="12" l="1"/>
  <c r="AB320" i="12"/>
  <c r="AE320" i="12"/>
  <c r="AD320" i="12"/>
  <c r="AG320" i="12"/>
  <c r="AF320" i="12"/>
  <c r="AI320" i="12"/>
  <c r="AH320" i="12"/>
  <c r="S156" i="9"/>
  <c r="AK320" i="12"/>
  <c r="AJ320" i="12"/>
  <c r="W34" i="10"/>
  <c r="AL320" i="12"/>
  <c r="X88" i="6"/>
  <c r="AB88" i="6"/>
  <c r="W88" i="6"/>
  <c r="AA88" i="6"/>
  <c r="G74" i="9" l="1"/>
  <c r="G154" i="9" s="1"/>
  <c r="G76" i="9" l="1"/>
  <c r="K74" i="9"/>
  <c r="K154" i="9" s="1"/>
  <c r="F74" i="9"/>
  <c r="F76" i="9" s="1"/>
  <c r="L74" i="9"/>
  <c r="L154" i="9" s="1"/>
  <c r="J74" i="9"/>
  <c r="J154" i="9" s="1"/>
  <c r="H74" i="9"/>
  <c r="H76" i="9" s="1"/>
  <c r="I74" i="9"/>
  <c r="I154" i="9" s="1"/>
  <c r="D74" i="9"/>
  <c r="D76" i="9" s="1"/>
  <c r="E74" i="9"/>
  <c r="E154" i="9" s="1"/>
  <c r="C74" i="9"/>
  <c r="C154" i="9" s="1"/>
  <c r="C76" i="9" l="1"/>
  <c r="G156" i="9" s="1"/>
  <c r="E76" i="9"/>
  <c r="H156" i="9"/>
  <c r="I76" i="9"/>
  <c r="L76" i="9"/>
  <c r="L156" i="9" s="1"/>
  <c r="J76" i="9"/>
  <c r="H154" i="9"/>
  <c r="K76" i="9"/>
  <c r="D154" i="9"/>
  <c r="F154" i="9"/>
  <c r="I156" i="9" l="1"/>
  <c r="J156" i="9"/>
  <c r="N156" i="9"/>
  <c r="O156" i="9"/>
  <c r="K156" i="9"/>
  <c r="Q67" i="9"/>
  <c r="P67" i="9"/>
  <c r="R67" i="9"/>
  <c r="R74" i="9"/>
  <c r="R76" i="9" s="1"/>
  <c r="AE260" i="12" s="1"/>
  <c r="Q74" i="9"/>
  <c r="Q154" i="9" s="1"/>
  <c r="P74" i="9"/>
  <c r="P76" i="9" s="1"/>
  <c r="M74" i="9"/>
  <c r="M154" i="9" s="1"/>
  <c r="AB260" i="12" l="1"/>
  <c r="Q76" i="9"/>
  <c r="AD260" i="12" s="1"/>
  <c r="P156" i="9"/>
  <c r="P154" i="9"/>
  <c r="R154" i="9"/>
  <c r="R156" i="9"/>
  <c r="V156" i="9"/>
  <c r="AI271" i="12" s="1"/>
  <c r="M76" i="9"/>
  <c r="M156" i="9" s="1"/>
  <c r="T156" i="9"/>
  <c r="AE271" i="12" l="1"/>
  <c r="AC260" i="12"/>
  <c r="U156" i="9"/>
  <c r="AH271" i="12" s="1"/>
  <c r="AG271" i="12"/>
  <c r="AF271" i="12"/>
  <c r="Q156" i="9"/>
  <c r="AD271" i="12" l="1"/>
  <c r="AB271" i="12"/>
  <c r="AC271" i="12"/>
  <c r="AQ142" i="9" l="1"/>
  <c r="AR52" i="9"/>
  <c r="AR142" i="9" s="1"/>
  <c r="AS52" i="9"/>
  <c r="AS142" i="9" s="1"/>
  <c r="AT52" i="9"/>
  <c r="AT142" i="9" s="1"/>
  <c r="AU52" i="9"/>
  <c r="AU142" i="9" s="1"/>
  <c r="AV52" i="9"/>
  <c r="AV142" i="9" s="1"/>
  <c r="AW52" i="9"/>
  <c r="AW142" i="9" s="1"/>
  <c r="AX52" i="9"/>
  <c r="AX142" i="9" s="1"/>
  <c r="AB206" i="1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David-Mickael Lopes</author>
    <author>Kelvin</author>
    <author>David</author>
  </authors>
  <commentList>
    <comment ref="AH12" authorId="0" shapeId="0" xr:uid="{00000000-0006-0000-0100-000001000000}">
      <text>
        <r>
          <rPr>
            <sz val="9"/>
            <color indexed="81"/>
            <rFont val="Tahoma"/>
            <family val="2"/>
          </rPr>
          <t xml:space="preserve">
Includes Biz fibre and others
+9.5% QoQ ex Biz</t>
        </r>
      </text>
    </comment>
    <comment ref="AT27" authorId="1" shapeId="0" xr:uid="{3248A6E5-CB32-427A-B12D-6F63FFB8DE20}">
      <text>
        <r>
          <rPr>
            <b/>
            <sz val="9"/>
            <color indexed="81"/>
            <rFont val="Tahoma"/>
            <family val="2"/>
          </rPr>
          <t>Kelvin:</t>
        </r>
        <r>
          <rPr>
            <sz val="9"/>
            <color indexed="81"/>
            <rFont val="Tahoma"/>
            <family val="2"/>
          </rPr>
          <t xml:space="preserve">
absence of wholesale voice in Q4</t>
        </r>
      </text>
    </comment>
    <comment ref="AX28" authorId="1" shapeId="0" xr:uid="{2D4E4C62-728C-49C4-91EE-328A50ACFA25}">
      <text>
        <r>
          <rPr>
            <b/>
            <sz val="9"/>
            <color indexed="81"/>
            <rFont val="Tahoma"/>
            <family val="2"/>
          </rPr>
          <t>Kelvin:</t>
        </r>
        <r>
          <rPr>
            <sz val="9"/>
            <color indexed="81"/>
            <rFont val="Tahoma"/>
            <family val="2"/>
          </rPr>
          <t xml:space="preserve">
includes full impact from TM deal</t>
        </r>
      </text>
    </comment>
    <comment ref="AD55" authorId="0" shapeId="0" xr:uid="{00000000-0006-0000-0100-000002000000}">
      <text>
        <r>
          <rPr>
            <sz val="9"/>
            <color indexed="81"/>
            <rFont val="Tahoma"/>
            <family val="2"/>
          </rPr>
          <t xml:space="preserve">
Q4 includes MYR 250m exceptional expense</t>
        </r>
      </text>
    </comment>
    <comment ref="AW79" authorId="1" shapeId="0" xr:uid="{38EDFB56-E67B-4D72-9FAD-34D14037A28D}">
      <text>
        <r>
          <rPr>
            <b/>
            <sz val="9"/>
            <color indexed="81"/>
            <rFont val="Tahoma"/>
            <family val="2"/>
          </rPr>
          <t>Kelvin:</t>
        </r>
        <r>
          <rPr>
            <sz val="9"/>
            <color indexed="81"/>
            <rFont val="Tahoma"/>
            <family val="2"/>
          </rPr>
          <t xml:space="preserve">
Cost optimisation initiative</t>
        </r>
      </text>
    </comment>
    <comment ref="AX79" authorId="1" shapeId="0" xr:uid="{DA588FF3-AFFF-4DF3-BA25-6A8E8D6A5A73}">
      <text>
        <r>
          <rPr>
            <b/>
            <sz val="9"/>
            <color indexed="81"/>
            <rFont val="Tahoma"/>
            <family val="2"/>
          </rPr>
          <t>Kelvin:</t>
        </r>
        <r>
          <rPr>
            <sz val="9"/>
            <color indexed="81"/>
            <rFont val="Tahoma"/>
            <family val="2"/>
          </rPr>
          <t xml:space="preserve">
230M NON-CASH ACCEELRATED DEPRECIATION AND IMPAIRMENT AND 73M TAX SETTLEMENT</t>
        </r>
      </text>
    </comment>
    <comment ref="AL85" authorId="2" shapeId="0" xr:uid="{37F4635D-6124-44F4-AF74-3A6B1AF81989}">
      <text>
        <r>
          <rPr>
            <sz val="9"/>
            <color indexed="81"/>
            <rFont val="Tahoma"/>
            <family val="2"/>
          </rPr>
          <t xml:space="preserve">
1 sen special dividend</t>
        </r>
      </text>
    </comment>
    <comment ref="AD132" authorId="0" shapeId="0" xr:uid="{00000000-0006-0000-0100-000003000000}">
      <text>
        <r>
          <rPr>
            <sz val="9"/>
            <color indexed="81"/>
            <rFont val="Tahoma"/>
            <family val="2"/>
          </rPr>
          <t xml:space="preserve">
Q4 includes MYR 250m exceptional expense</t>
        </r>
      </text>
    </comment>
    <comment ref="AD144" authorId="0" shapeId="0" xr:uid="{00000000-0006-0000-0100-000004000000}">
      <text>
        <r>
          <rPr>
            <sz val="9"/>
            <color indexed="81"/>
            <rFont val="Tahoma"/>
            <family val="2"/>
          </rPr>
          <t xml:space="preserve">
EBITDA -2.6% on underlying basis in Q4</t>
        </r>
      </text>
    </comment>
    <comment ref="AH144" authorId="2" shapeId="0" xr:uid="{00000000-0006-0000-0100-000005000000}">
      <text>
        <r>
          <rPr>
            <sz val="9"/>
            <color indexed="81"/>
            <rFont val="Tahoma"/>
            <family val="2"/>
          </rPr>
          <t xml:space="preserve">
-11.3% clean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Kelvin</author>
    <author>David</author>
  </authors>
  <commentList>
    <comment ref="B7" authorId="0" shapeId="0" xr:uid="{77DBBAF2-1ABB-46B9-A2F2-EA44256629AE}">
      <text>
        <r>
          <rPr>
            <b/>
            <sz val="9"/>
            <color indexed="81"/>
            <rFont val="Tahoma"/>
            <family val="2"/>
          </rPr>
          <t>Kelvin:</t>
        </r>
        <r>
          <rPr>
            <sz val="9"/>
            <color indexed="81"/>
            <rFont val="Tahoma"/>
            <family val="2"/>
          </rPr>
          <t xml:space="preserve">
Includes derivative financial instruments designated for hedging relationship on borrowings</t>
        </r>
      </text>
    </comment>
    <comment ref="AL9" authorId="1" shapeId="0" xr:uid="{7C5B63AE-BE3E-4DA0-ABD2-0BECD70489BE}">
      <text>
        <r>
          <rPr>
            <sz val="9"/>
            <color indexed="81"/>
            <rFont val="Tahoma"/>
            <family val="2"/>
          </rPr>
          <t xml:space="preserve">
Adoption IFRIC AD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Kelvin</author>
    <author>David-Mickael Lopes</author>
  </authors>
  <commentList>
    <comment ref="A5" authorId="0" shapeId="0" xr:uid="{E168061A-817B-47AF-BD74-19F6183FF0B9}">
      <text>
        <r>
          <rPr>
            <b/>
            <sz val="9"/>
            <color indexed="81"/>
            <rFont val="Tahoma"/>
            <family val="2"/>
          </rPr>
          <t>Kelvin:</t>
        </r>
        <r>
          <rPr>
            <sz val="9"/>
            <color indexed="81"/>
            <rFont val="Tahoma"/>
            <family val="2"/>
          </rPr>
          <t xml:space="preserve">
incl. M2M</t>
        </r>
      </text>
    </comment>
    <comment ref="AG9" authorId="1" shapeId="0" xr:uid="{00000000-0006-0000-0300-000001000000}">
      <text>
        <r>
          <rPr>
            <sz val="9"/>
            <color indexed="81"/>
            <rFont val="Tahoma"/>
            <family val="2"/>
          </rPr>
          <t xml:space="preserve">
Est. Not reported this quarter</t>
        </r>
      </text>
    </comment>
    <comment ref="AH9" authorId="1" shapeId="0" xr:uid="{00000000-0006-0000-0300-000002000000}">
      <text>
        <r>
          <rPr>
            <sz val="9"/>
            <color indexed="81"/>
            <rFont val="Tahoma"/>
            <family val="2"/>
          </rPr>
          <t xml:space="preserve">
Est. Not reported this quarter</t>
        </r>
      </text>
    </comment>
    <comment ref="AI9" authorId="1" shapeId="0" xr:uid="{00000000-0006-0000-0300-000003000000}">
      <text>
        <r>
          <rPr>
            <sz val="9"/>
            <color indexed="81"/>
            <rFont val="Tahoma"/>
            <family val="2"/>
          </rPr>
          <t xml:space="preserve">
Est. Not reported this quarter</t>
        </r>
      </text>
    </comment>
    <comment ref="AJ9" authorId="1" shapeId="0" xr:uid="{00000000-0006-0000-0300-000004000000}">
      <text>
        <r>
          <rPr>
            <sz val="9"/>
            <color indexed="81"/>
            <rFont val="Tahoma"/>
            <family val="2"/>
          </rPr>
          <t xml:space="preserve">
Est. Not reported this quarter</t>
        </r>
      </text>
    </comment>
    <comment ref="AK9" authorId="1" shapeId="0" xr:uid="{5F3293FD-77AE-4977-BF66-C59ED0C551F2}">
      <text>
        <r>
          <rPr>
            <sz val="9"/>
            <color indexed="81"/>
            <rFont val="Tahoma"/>
            <family val="2"/>
          </rPr>
          <t xml:space="preserve">
Est. Not reported this quarter</t>
        </r>
      </text>
    </comment>
    <comment ref="AL9" authorId="1" shapeId="0" xr:uid="{B2C3E3F8-98F6-4BB0-BFEB-83AEADBF246C}">
      <text>
        <r>
          <rPr>
            <sz val="9"/>
            <color indexed="81"/>
            <rFont val="Tahoma"/>
            <family val="2"/>
          </rPr>
          <t xml:space="preserve">
Est. Not reported this quarter</t>
        </r>
      </text>
    </comment>
    <comment ref="AM9" authorId="1" shapeId="0" xr:uid="{301B38B2-432C-4A85-A481-8808D010911A}">
      <text>
        <r>
          <rPr>
            <sz val="9"/>
            <color indexed="81"/>
            <rFont val="Tahoma"/>
            <family val="2"/>
          </rPr>
          <t xml:space="preserve">
Est. Not reported this quarter</t>
        </r>
      </text>
    </comment>
    <comment ref="AN9" authorId="1" shapeId="0" xr:uid="{04D61BDF-901A-469D-A7AE-1F9DFF42E982}">
      <text>
        <r>
          <rPr>
            <sz val="9"/>
            <color indexed="81"/>
            <rFont val="Tahoma"/>
            <family val="2"/>
          </rPr>
          <t xml:space="preserve">
Est. Not reported this quarter</t>
        </r>
      </text>
    </comment>
    <comment ref="AO9" authorId="1" shapeId="0" xr:uid="{AB66843F-7A77-4B33-BCEA-8337AD827C67}">
      <text>
        <r>
          <rPr>
            <sz val="9"/>
            <color indexed="81"/>
            <rFont val="Tahoma"/>
            <family val="2"/>
          </rPr>
          <t xml:space="preserve">
Est. Not reported this quarter</t>
        </r>
      </text>
    </comment>
    <comment ref="AP9" authorId="1" shapeId="0" xr:uid="{EA6ED409-0913-4CFD-9786-B54A2D144379}">
      <text>
        <r>
          <rPr>
            <sz val="9"/>
            <color indexed="81"/>
            <rFont val="Tahoma"/>
            <family val="2"/>
          </rPr>
          <t xml:space="preserve">
Est. Not reported this quarter</t>
        </r>
      </text>
    </comment>
    <comment ref="AQ9" authorId="1" shapeId="0" xr:uid="{49AEC278-99E4-4626-B953-8F38A0E227E6}">
      <text>
        <r>
          <rPr>
            <sz val="9"/>
            <color indexed="81"/>
            <rFont val="Tahoma"/>
            <family val="2"/>
          </rPr>
          <t xml:space="preserve">
Est. Not reported this quarter</t>
        </r>
      </text>
    </comment>
    <comment ref="A14" authorId="0" shapeId="0" xr:uid="{080CAB3B-9D55-4043-8D2D-C6AB3495B8D1}">
      <text>
        <r>
          <rPr>
            <b/>
            <sz val="9"/>
            <color indexed="81"/>
            <rFont val="Tahoma"/>
            <family val="2"/>
          </rPr>
          <t>Kelvin:</t>
        </r>
        <r>
          <rPr>
            <sz val="9"/>
            <color indexed="81"/>
            <rFont val="Tahoma"/>
            <family val="2"/>
          </rPr>
          <t xml:space="preserve">
subscriptions on data plans using USB modems and tablets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Kelvin</author>
  </authors>
  <commentList>
    <comment ref="R32" authorId="0" shapeId="0" xr:uid="{1DD3D02A-0FEC-4276-BBB9-546CA4719F94}">
      <text>
        <r>
          <rPr>
            <b/>
            <sz val="9"/>
            <color indexed="81"/>
            <rFont val="Tahoma"/>
            <family val="2"/>
          </rPr>
          <t>Kelvin:</t>
        </r>
        <r>
          <rPr>
            <sz val="9"/>
            <color indexed="81"/>
            <rFont val="Tahoma"/>
            <family val="2"/>
          </rPr>
          <t xml:space="preserve">
Revenue in the previous quarter was higher due to project milestone completion, while there were lesser non-recurring revenue in the third quarter</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<sst xmlns="http://schemas.openxmlformats.org/spreadsheetml/2006/main" count="613" uniqueCount="437">
  <si>
    <t>Q3 15</t>
  </si>
  <si>
    <t>Q4 15</t>
  </si>
  <si>
    <t>Q1 16</t>
  </si>
  <si>
    <t>Q2 16</t>
  </si>
  <si>
    <t>Q3 16</t>
  </si>
  <si>
    <t>Q4 16</t>
  </si>
  <si>
    <t>Q1 17</t>
  </si>
  <si>
    <t>Voice</t>
  </si>
  <si>
    <t>Revenues</t>
  </si>
  <si>
    <t>Q2 17</t>
  </si>
  <si>
    <t>EBITDA Margin</t>
  </si>
  <si>
    <t>Average Subscriber Numbers</t>
  </si>
  <si>
    <t>Subscriber Base Growth YoY</t>
  </si>
  <si>
    <t>ARPU Growth</t>
  </si>
  <si>
    <t>Pricing Growth YoY</t>
  </si>
  <si>
    <t>Pricing Growth QoQ</t>
  </si>
  <si>
    <t>Data</t>
  </si>
  <si>
    <t>DETAILED P&amp;L (REPORTED)</t>
  </si>
  <si>
    <t>Comments</t>
  </si>
  <si>
    <t>NSR Group Profit and Loss Analysis</t>
  </si>
  <si>
    <t>Group Total Revenue Growth YoY</t>
  </si>
  <si>
    <t>Group Total Revenue Growth QoQ</t>
  </si>
  <si>
    <t>Depreciation and amortisation growth % YoY</t>
  </si>
  <si>
    <t>Implied tax rate</t>
  </si>
  <si>
    <t>NSR DOMESTIC MOBILE KPIs ANALYSIS</t>
  </si>
  <si>
    <t>Hyperlink</t>
  </si>
  <si>
    <t>Index</t>
  </si>
  <si>
    <t>1)</t>
  </si>
  <si>
    <t>2)</t>
  </si>
  <si>
    <t>3)</t>
  </si>
  <si>
    <t>4)</t>
  </si>
  <si>
    <t>5)</t>
  </si>
  <si>
    <t>6)</t>
  </si>
  <si>
    <t>7)</t>
  </si>
  <si>
    <t>8)</t>
  </si>
  <si>
    <t>Data ARPU growth (QoQ)</t>
  </si>
  <si>
    <t xml:space="preserve">New Street Research </t>
  </si>
  <si>
    <t>Charts Page</t>
  </si>
  <si>
    <t>KEY</t>
  </si>
  <si>
    <t>New Street Analysis</t>
  </si>
  <si>
    <t>Gross Revenue</t>
  </si>
  <si>
    <t>Opex</t>
  </si>
  <si>
    <t>Interest and Financing Cost (net)</t>
  </si>
  <si>
    <t>Tax</t>
  </si>
  <si>
    <t>Total KPIs</t>
  </si>
  <si>
    <t>Total Minutes of Use</t>
  </si>
  <si>
    <t xml:space="preserve">Total Minutes of Use Growth </t>
  </si>
  <si>
    <t>QUARTERLY SHEET</t>
  </si>
  <si>
    <t>DOMESTIC MOBILE Operations</t>
  </si>
  <si>
    <t>Domestic Mobile Operations</t>
  </si>
  <si>
    <t>REVENUES</t>
  </si>
  <si>
    <t>VOICE DRIVERS</t>
  </si>
  <si>
    <t>Total Susbcribers</t>
  </si>
  <si>
    <t>Subscriber net additions</t>
  </si>
  <si>
    <t>Net subscriber Additions</t>
  </si>
  <si>
    <t>Mobile Internet Drivers</t>
  </si>
  <si>
    <t>9)</t>
  </si>
  <si>
    <t>EBITDA and Opex</t>
  </si>
  <si>
    <t>Opex growth (% YoY)</t>
  </si>
  <si>
    <t>EBITDA growth (% YoY)</t>
  </si>
  <si>
    <t>EBITDA growth (% QoQ)</t>
  </si>
  <si>
    <t>PAT</t>
  </si>
  <si>
    <t>Voice Drivers</t>
  </si>
  <si>
    <t>EBITDA and opex</t>
  </si>
  <si>
    <t>Other</t>
  </si>
  <si>
    <t>Handsets/other</t>
  </si>
  <si>
    <t>Reported EBITDA</t>
  </si>
  <si>
    <t>DPS</t>
  </si>
  <si>
    <t>Data as % of service revenues</t>
  </si>
  <si>
    <t>Opex and EBITDA</t>
  </si>
  <si>
    <t>Growth % YoY</t>
  </si>
  <si>
    <t>As a % of service revenues</t>
  </si>
  <si>
    <t>Dividend pay-out ratio</t>
  </si>
  <si>
    <t>Net income growth (% YoY)</t>
  </si>
  <si>
    <t>Net Debt</t>
  </si>
  <si>
    <t>Capex Growth (% YoY)</t>
  </si>
  <si>
    <t>Capex as % of sales</t>
  </si>
  <si>
    <t>Capex per sub</t>
  </si>
  <si>
    <t>Net debt/EBITDA</t>
  </si>
  <si>
    <t>Net debt growth (% YoY</t>
  </si>
  <si>
    <t>Change in Net det (THB 'mn)</t>
  </si>
  <si>
    <t>Interest bearing debt</t>
  </si>
  <si>
    <t>Cash</t>
  </si>
  <si>
    <t>Capex as % of service revenues</t>
  </si>
  <si>
    <t>Smartphone penetration</t>
  </si>
  <si>
    <t>Estimated smartphones</t>
  </si>
  <si>
    <t>Minutes of Use (Outbound) Growth</t>
  </si>
  <si>
    <t>Calculated Data ARPU</t>
  </si>
  <si>
    <t>Calculated MI ARPU (based off smartphone users)</t>
  </si>
  <si>
    <t>Calculated Voice ARPU</t>
  </si>
  <si>
    <t>Calculated Voice yield</t>
  </si>
  <si>
    <t>Data ARPU growth (YoY)</t>
  </si>
  <si>
    <t>Smartphone base growth (% YoY)</t>
  </si>
  <si>
    <t>Total Revenues (MYR 'mn)</t>
  </si>
  <si>
    <t>Service revenue make-up (MYR'mn)</t>
  </si>
  <si>
    <t>Voice ARPU growth (YoY)</t>
  </si>
  <si>
    <t>Voice ARPU growth (QoQ)</t>
  </si>
  <si>
    <t>EBITDA margin</t>
  </si>
  <si>
    <t>Other items</t>
  </si>
  <si>
    <t>Opex and opex growth (% YoY)</t>
  </si>
  <si>
    <t>Net income (MYR 'mn)</t>
  </si>
  <si>
    <t>Depreciation and amortisation MYR 'mn)</t>
  </si>
  <si>
    <t>Capex (MYR 'mn)</t>
  </si>
  <si>
    <t>OpFCF (MYR'mn)</t>
  </si>
  <si>
    <t>OpFCF margin (%)</t>
  </si>
  <si>
    <t>OpFCF less interest, less tax (MYR'mn)</t>
  </si>
  <si>
    <t>OpFCF</t>
  </si>
  <si>
    <t>OpFCF growth (% YoY)</t>
  </si>
  <si>
    <t>FCF (OpFCF - Interest - Tax)</t>
  </si>
  <si>
    <t>Profit and Loss Highlights</t>
  </si>
  <si>
    <t>Key Balance Sheet &amp; Cflow items</t>
  </si>
  <si>
    <t>Opex make-up</t>
  </si>
  <si>
    <t xml:space="preserve">Messaging </t>
  </si>
  <si>
    <t>Mobile Internet</t>
  </si>
  <si>
    <t>Cost of materials</t>
  </si>
  <si>
    <t>Sales and Marketing</t>
  </si>
  <si>
    <t>Staff costs</t>
  </si>
  <si>
    <t>Operational and Maintenance</t>
  </si>
  <si>
    <t>USP Fund and Licence</t>
  </si>
  <si>
    <t>Dividend growth (% YoY)</t>
  </si>
  <si>
    <t>Voice (Growth YoY)</t>
  </si>
  <si>
    <t>Voice (Growth QoQ)</t>
  </si>
  <si>
    <t>Mobile internet (Growth YoY)</t>
  </si>
  <si>
    <t>Mobile internet (Growth QoQ)</t>
  </si>
  <si>
    <t>SMS (Growth YoY)</t>
  </si>
  <si>
    <t>MoU</t>
  </si>
  <si>
    <t>Estimated mobile data traffic growth (YoY)</t>
  </si>
  <si>
    <t>Estimated usage per smartphone user</t>
  </si>
  <si>
    <t>Estimated usage per smartphone growth (YoY)</t>
  </si>
  <si>
    <t>Sales and marketing as % of sales</t>
  </si>
  <si>
    <t>EPS and DPS (MYR/share)</t>
  </si>
  <si>
    <t>Data traffic</t>
  </si>
  <si>
    <t>Non-Service Revenues</t>
  </si>
  <si>
    <t>Network costs</t>
  </si>
  <si>
    <t>Cost of sales</t>
  </si>
  <si>
    <t>Underlying EBITDA</t>
  </si>
  <si>
    <t>Traffic costs</t>
  </si>
  <si>
    <t>Costs of sales</t>
  </si>
  <si>
    <t>Change of reporting style</t>
  </si>
  <si>
    <t>Reported EBITDA growth (% YoY)</t>
  </si>
  <si>
    <t>Reported EBITDA growth (% QoQ)</t>
  </si>
  <si>
    <t>Quarterly Maxis Historicals Model</t>
  </si>
  <si>
    <t>Figures as reported by Maxis</t>
  </si>
  <si>
    <t>Usage per Sub</t>
  </si>
  <si>
    <t>Prepaid</t>
  </si>
  <si>
    <t>Postpaid</t>
  </si>
  <si>
    <t>Underlying EBITDA and EBITDA growth (% YoY)</t>
  </si>
  <si>
    <t>Mobile Service Revenues</t>
  </si>
  <si>
    <t>Postpaid revenues</t>
  </si>
  <si>
    <t>Prepaid revenues</t>
  </si>
  <si>
    <t>Normalised PBT</t>
  </si>
  <si>
    <t>(Reported PAT)</t>
  </si>
  <si>
    <t>Prepaid Subs</t>
  </si>
  <si>
    <t>Postpaid Subs</t>
  </si>
  <si>
    <t>WBB</t>
  </si>
  <si>
    <t>Prepaid ARPU</t>
  </si>
  <si>
    <t>Postpaid ARPU</t>
  </si>
  <si>
    <t>Home connections</t>
  </si>
  <si>
    <t>Mobile Service Revenue Growth (% YoY)</t>
  </si>
  <si>
    <t>Total revenues growth (%YoY)</t>
  </si>
  <si>
    <t>Mobile Service Revenues (MYR 'mn)</t>
  </si>
  <si>
    <t>Amortisation</t>
  </si>
  <si>
    <t>Normalised EBIT</t>
  </si>
  <si>
    <t>Postpaid net adds</t>
  </si>
  <si>
    <t>Prepaid net adds</t>
  </si>
  <si>
    <t>Prepaid ARPU growth (YoY)</t>
  </si>
  <si>
    <t>Postpaid ARPU growth (YoY)</t>
  </si>
  <si>
    <t>Prepaid Total minutes of use</t>
  </si>
  <si>
    <t>Total Prepaid Minutes of Use growth (YoY)</t>
  </si>
  <si>
    <t>Prepaid Usage growth</t>
  </si>
  <si>
    <t>Usage per sub growth (YoY)</t>
  </si>
  <si>
    <t>Postpaid usage growth</t>
  </si>
  <si>
    <t>Prepaid share of mobile service revs</t>
  </si>
  <si>
    <t>Postpaid share of mobile service revs</t>
  </si>
  <si>
    <t>Proportion of service revenues from pre/post-paid</t>
  </si>
  <si>
    <t>Total Prepaid Voice Traffic (Minutes)</t>
  </si>
  <si>
    <t>Total Prepaid Traffic Growth (% YoY)</t>
  </si>
  <si>
    <t>Data traffic (TB)</t>
  </si>
  <si>
    <t>Data traffic (% YoY)</t>
  </si>
  <si>
    <t>Data usage per sub by type</t>
  </si>
  <si>
    <t>Data usage</t>
  </si>
  <si>
    <t>ARPU</t>
  </si>
  <si>
    <t>Data usage versus ARPU (rebased to 100)</t>
  </si>
  <si>
    <t>Data subscribers ('000)</t>
  </si>
  <si>
    <t>Data subs net adds ('000)</t>
  </si>
  <si>
    <t>Data user subscribers</t>
  </si>
  <si>
    <t>Data user net adds</t>
  </si>
  <si>
    <t>Smarthphone user net adds</t>
  </si>
  <si>
    <t>Traffic expenses as a % of sales</t>
  </si>
  <si>
    <t>Post dividend</t>
  </si>
  <si>
    <t>Figures restated/ growth rates impacted</t>
  </si>
  <si>
    <t>ARPU growth (% YoY)</t>
  </si>
  <si>
    <t>Blended ARPUs (MYR)</t>
  </si>
  <si>
    <t>Balance Sheet</t>
  </si>
  <si>
    <t>Comment - Post-paid now the focus, stepping away from prepaid</t>
  </si>
  <si>
    <t>Comment - Data traffic continues to rise strongly…</t>
  </si>
  <si>
    <t xml:space="preserve"> </t>
  </si>
  <si>
    <t>Mobile Service revenues</t>
  </si>
  <si>
    <t>Mobile Service revenues (Growth % YoY)</t>
  </si>
  <si>
    <t>Mobile Service revenues (Growth % QoQ)</t>
  </si>
  <si>
    <t>Traffic, commission and other direct expenses</t>
  </si>
  <si>
    <t>New Street Research Key Chart</t>
  </si>
  <si>
    <t>Historic to Q1 17 on MFRS-15 basis</t>
  </si>
  <si>
    <t>Normalised - Network costs</t>
  </si>
  <si>
    <t>Net debt/LQA EBITDA</t>
  </si>
  <si>
    <t>Comment - Q4 impacted by one-off</t>
  </si>
  <si>
    <t>Comment - data subscribers recovery</t>
  </si>
  <si>
    <t>Capital Expenditure (accrued)</t>
  </si>
  <si>
    <t>Quarter</t>
  </si>
  <si>
    <t>Position</t>
  </si>
  <si>
    <t>Date</t>
  </si>
  <si>
    <t>Q</t>
  </si>
  <si>
    <t>1Q12</t>
  </si>
  <si>
    <t>2Q12</t>
  </si>
  <si>
    <t>3Q12</t>
  </si>
  <si>
    <t>4Q12</t>
  </si>
  <si>
    <t>1Q13</t>
  </si>
  <si>
    <t>2Q13</t>
  </si>
  <si>
    <t>3Q13</t>
  </si>
  <si>
    <t>4Q13</t>
  </si>
  <si>
    <t>1Q14</t>
  </si>
  <si>
    <t>2Q14</t>
  </si>
  <si>
    <t>3Q14</t>
  </si>
  <si>
    <t>4Q14</t>
  </si>
  <si>
    <t>1Q15</t>
  </si>
  <si>
    <t>2Q15</t>
  </si>
  <si>
    <t>3Q15</t>
  </si>
  <si>
    <t>4Q15</t>
  </si>
  <si>
    <t>1Q16</t>
  </si>
  <si>
    <t>2Q16</t>
  </si>
  <si>
    <t>3Q16</t>
  </si>
  <si>
    <t>4Q16</t>
  </si>
  <si>
    <t>1Q17</t>
  </si>
  <si>
    <t>2Q17</t>
  </si>
  <si>
    <t>3Q17</t>
  </si>
  <si>
    <t>4Q17</t>
  </si>
  <si>
    <t>1Q18</t>
  </si>
  <si>
    <t>2Q18</t>
  </si>
  <si>
    <t>3Q18</t>
  </si>
  <si>
    <t>4Q18</t>
  </si>
  <si>
    <t>1Q19</t>
  </si>
  <si>
    <t>2Q19</t>
  </si>
  <si>
    <t>3Q19</t>
  </si>
  <si>
    <t>4Q19</t>
  </si>
  <si>
    <t>1Q20</t>
  </si>
  <si>
    <t>2Q20</t>
  </si>
  <si>
    <t>3Q20</t>
  </si>
  <si>
    <t>4Q20</t>
  </si>
  <si>
    <t>1Q21</t>
  </si>
  <si>
    <t>2Q21</t>
  </si>
  <si>
    <t>3Q21</t>
  </si>
  <si>
    <t>4Q21</t>
  </si>
  <si>
    <t>1Q22</t>
  </si>
  <si>
    <t>2Q22</t>
  </si>
  <si>
    <t>3Q22</t>
  </si>
  <si>
    <t>4Q22</t>
  </si>
  <si>
    <t>1Q23</t>
  </si>
  <si>
    <t>2Q23</t>
  </si>
  <si>
    <t>3Q23</t>
  </si>
  <si>
    <t>4Q23</t>
  </si>
  <si>
    <t>1Q24</t>
  </si>
  <si>
    <t>2Q24</t>
  </si>
  <si>
    <t>3Q24</t>
  </si>
  <si>
    <t>4Q24</t>
  </si>
  <si>
    <t>1Q25</t>
  </si>
  <si>
    <t>2Q25</t>
  </si>
  <si>
    <t>3Q25</t>
  </si>
  <si>
    <t>4Q25</t>
  </si>
  <si>
    <t>1Q26</t>
  </si>
  <si>
    <t>2Q26</t>
  </si>
  <si>
    <t>3Q26</t>
  </si>
  <si>
    <t>4Q26</t>
  </si>
  <si>
    <t>1Q27</t>
  </si>
  <si>
    <t>2Q27</t>
  </si>
  <si>
    <t>3Q27</t>
  </si>
  <si>
    <t>4Q27</t>
  </si>
  <si>
    <t>1Q28</t>
  </si>
  <si>
    <t>2Q28</t>
  </si>
  <si>
    <t>3Q28</t>
  </si>
  <si>
    <t>4Q28</t>
  </si>
  <si>
    <t>1Q29</t>
  </si>
  <si>
    <t>2Q29</t>
  </si>
  <si>
    <t>3Q29</t>
  </si>
  <si>
    <t>4Q29</t>
  </si>
  <si>
    <t>1Q30</t>
  </si>
  <si>
    <t>2Q30</t>
  </si>
  <si>
    <t>3Q30</t>
  </si>
  <si>
    <t>4Q30</t>
  </si>
  <si>
    <t>1Q31</t>
  </si>
  <si>
    <t>2Q31</t>
  </si>
  <si>
    <t>3Q31</t>
  </si>
  <si>
    <t>4Q31</t>
  </si>
  <si>
    <t>1Q32</t>
  </si>
  <si>
    <t>2Q32</t>
  </si>
  <si>
    <t>3Q32</t>
  </si>
  <si>
    <t>4Q32</t>
  </si>
  <si>
    <t>1Q33</t>
  </si>
  <si>
    <t>2Q33</t>
  </si>
  <si>
    <t>3Q33</t>
  </si>
  <si>
    <t>4Q33</t>
  </si>
  <si>
    <t>1Q34</t>
  </si>
  <si>
    <t>2Q34</t>
  </si>
  <si>
    <t>3Q34</t>
  </si>
  <si>
    <t>4Q34</t>
  </si>
  <si>
    <t>1Q35</t>
  </si>
  <si>
    <t>1Q36</t>
  </si>
  <si>
    <t>2Q35</t>
  </si>
  <si>
    <t>2Q36</t>
  </si>
  <si>
    <t>3Q35</t>
  </si>
  <si>
    <t>3Q36</t>
  </si>
  <si>
    <t>4Q35</t>
  </si>
  <si>
    <t>4Q36</t>
  </si>
  <si>
    <t>1Q37</t>
  </si>
  <si>
    <t>2Q37</t>
  </si>
  <si>
    <t>3Q37</t>
  </si>
  <si>
    <t>4Q37</t>
  </si>
  <si>
    <t>1Q38</t>
  </si>
  <si>
    <t>2Q38</t>
  </si>
  <si>
    <t>3Q38</t>
  </si>
  <si>
    <t>4Q38</t>
  </si>
  <si>
    <t>1Q39</t>
  </si>
  <si>
    <t>2Q39</t>
  </si>
  <si>
    <t>3Q39</t>
  </si>
  <si>
    <t>4Q39</t>
  </si>
  <si>
    <t>1Q40</t>
  </si>
  <si>
    <t>2Q40</t>
  </si>
  <si>
    <t>3Q40</t>
  </si>
  <si>
    <t>4Q40</t>
  </si>
  <si>
    <t>Chart update date</t>
  </si>
  <si>
    <t>Quarters</t>
  </si>
  <si>
    <t>Sales and Marketing % SR</t>
  </si>
  <si>
    <t>Network costs % SR</t>
  </si>
  <si>
    <t>Traffic costs % SR</t>
  </si>
  <si>
    <t>Costs of sales % SR</t>
  </si>
  <si>
    <t>Staff costs % SR</t>
  </si>
  <si>
    <t>Operational and Maintenance % SR</t>
  </si>
  <si>
    <t>USP Fund and Licence % SR</t>
  </si>
  <si>
    <t>Other % SR</t>
  </si>
  <si>
    <t>Integrated Revenues - Home fibre</t>
  </si>
  <si>
    <t>Fixed revenues - Enterp.</t>
  </si>
  <si>
    <t>Mobile service revenue growth (% y/y)</t>
  </si>
  <si>
    <t>SR</t>
  </si>
  <si>
    <t>SR ex wholesale</t>
  </si>
  <si>
    <t>YoY</t>
  </si>
  <si>
    <t>EBITDA</t>
  </si>
  <si>
    <t>Fixed revenues - Enterp. YoY</t>
  </si>
  <si>
    <t>Integrated Revenues - Home fibre YoY</t>
  </si>
  <si>
    <t>One offs</t>
  </si>
  <si>
    <t>Growth ex termination of wholesale</t>
  </si>
  <si>
    <t>Fibre</t>
  </si>
  <si>
    <t>YoY clean</t>
  </si>
  <si>
    <t>Biz connections</t>
  </si>
  <si>
    <t>Network Income</t>
  </si>
  <si>
    <t>RM mn</t>
  </si>
  <si>
    <t>New reporting</t>
  </si>
  <si>
    <t>Service Revenue</t>
  </si>
  <si>
    <t>Consumer Revenue</t>
  </si>
  <si>
    <t>Enterprise Revenue</t>
  </si>
  <si>
    <t>Mobile</t>
  </si>
  <si>
    <t>Fixed &amp; Solutions</t>
  </si>
  <si>
    <t>Non-service revenue</t>
  </si>
  <si>
    <t>Restated from Q1 21 onwards</t>
  </si>
  <si>
    <t>Previously reported gross revenue</t>
  </si>
  <si>
    <t>Postpaid revenue</t>
  </si>
  <si>
    <t>Prepaid revenue</t>
  </si>
  <si>
    <t>Mobile Service Revenue</t>
  </si>
  <si>
    <t>Postpaid revenue (Growth % YoY)</t>
  </si>
  <si>
    <t>Prepaid revenue (Growth % YoY)</t>
  </si>
  <si>
    <t>Previously Reported EBITDA</t>
  </si>
  <si>
    <t>Previous EBITDA</t>
  </si>
  <si>
    <t>ARPU (RM/month)</t>
  </si>
  <si>
    <t>Home Fibre</t>
  </si>
  <si>
    <t>Service revenues (Growth % YoY)</t>
  </si>
  <si>
    <t>Enterprise Service revenues (Growth % YoY)</t>
  </si>
  <si>
    <t>Enterprise Service revenues (Growth % QoQ)</t>
  </si>
  <si>
    <t>WBB - Wireless broadband</t>
  </si>
  <si>
    <t>Old reporting</t>
  </si>
  <si>
    <t>Home Connectivity</t>
  </si>
  <si>
    <t>Management commented that lack of 5G has not affected their competitiveness</t>
  </si>
  <si>
    <t>Links for EM Lisbon</t>
  </si>
  <si>
    <t>x</t>
  </si>
  <si>
    <t>RM m</t>
  </si>
  <si>
    <t>Key financials</t>
  </si>
  <si>
    <t>Mobile service revenue</t>
  </si>
  <si>
    <t>Enterprise</t>
  </si>
  <si>
    <t>Service revenue</t>
  </si>
  <si>
    <t>Revenue</t>
  </si>
  <si>
    <t>KPIs</t>
  </si>
  <si>
    <t>Blended ARPU</t>
  </si>
  <si>
    <t>Total subs</t>
  </si>
  <si>
    <t>Prepaid subs</t>
  </si>
  <si>
    <t>Postpaid subs</t>
  </si>
  <si>
    <t>% YoY</t>
  </si>
  <si>
    <t>Subscriber mix</t>
  </si>
  <si>
    <t>Revenue analysis</t>
  </si>
  <si>
    <t>% contribution</t>
  </si>
  <si>
    <t>Spectrum licence fees</t>
  </si>
  <si>
    <t>Allowance for doubtful debts, net</t>
  </si>
  <si>
    <t>Government grants and other income, net</t>
  </si>
  <si>
    <t>Others</t>
  </si>
  <si>
    <t>Traffic, commission and other direct expenses - prior to restatement</t>
  </si>
  <si>
    <t>Capex</t>
  </si>
  <si>
    <t>Consensus</t>
  </si>
  <si>
    <t>Margins</t>
  </si>
  <si>
    <t>Guidance</t>
  </si>
  <si>
    <t>Included within Service Revenue (Old classification)</t>
  </si>
  <si>
    <t>YoY margin change</t>
  </si>
  <si>
    <t>Payout ratio</t>
  </si>
  <si>
    <t>Mobile subscribers (incl. M2M, market definition)</t>
  </si>
  <si>
    <t>Subscriber Base ('000)</t>
  </si>
  <si>
    <t>% of revenue</t>
  </si>
  <si>
    <t>Depreciation</t>
  </si>
  <si>
    <t>Current quarter</t>
  </si>
  <si>
    <t>Net profit</t>
  </si>
  <si>
    <t>NSR</t>
  </si>
  <si>
    <t>LSD</t>
  </si>
  <si>
    <t>YTD-1</t>
  </si>
  <si>
    <t>YTD</t>
  </si>
  <si>
    <t>EPS</t>
  </si>
  <si>
    <t>Per share items:</t>
  </si>
  <si>
    <t>Adjusted PAT</t>
  </si>
  <si>
    <t>One-offs</t>
  </si>
  <si>
    <t>Service revenue growth</t>
  </si>
  <si>
    <t>Mobile (Growth % YoY)</t>
  </si>
  <si>
    <t>Fixed &amp; Solutions (Growth % YoY)</t>
  </si>
  <si>
    <t>Fibre (Growth % YoY)</t>
  </si>
  <si>
    <t>Average Revenue per User (ARPU) Blended, ex M2M</t>
  </si>
  <si>
    <t>Postpaid ARPU, ex. M2M</t>
  </si>
  <si>
    <t>Flat to LSD</t>
  </si>
  <si>
    <t>flat to LSD</t>
  </si>
  <si>
    <t>&lt;RM 1bn</t>
  </si>
  <si>
    <t>Prepaid+postpaid+WBB</t>
  </si>
  <si>
    <t>Maxis – Q4 24 Quick Take: Dividends lifted; FY25 guidance in-line with expectations</t>
  </si>
  <si>
    <t>What’s new: Service revenue was slower on Prepaid softness, offset by better Postpaid and Enterprise trends. 2025 guidance implies a similar growth momentum as 2024 and was in-line with us and consensus. In terms of shareholder remuneration, the company lifted its quarterly dividend to RM 5 sen from RM 4 sen previously, totalling RM 17 sen in 2024 (2023: RM 16sen). Maxis plans to keep a minimum quarterly dividend of RM 4 sen with a “one-time, one-cent increase” policy on outperforming years.
FY25 guidance implies similar growth momentum in 2024 and was within expectations. 
•	Service revenue: Low-single digit growth (NSR: 3.4%, Cons: 1.9%, 2024: +3.5%)
•	EBITDA: Flat to low-single digit growth (NSR: 3.5%, Cons: 1.7%, 2024: +4.1%)
•	Capex: Less than RM 1bn which implies high-single digit capex intensity on our estimates
Service revenue slower on Prepaid softness, offset by continued strength in Postpaid and better Enterprise trend. Group service revenue growth slowed to 2.1% YoY from 3.2% YoY prior on softer Prepaid (-4.3% YoY from -1.7%). This was felt by CelcomDigi too as its Prepaid declined further to 5.1% in Q4 from -4.4%. Despite this, Maxis maintained its Postpaid strength as it grew 5% YoY versus 4.9% prior (CelcomDigi: 3.7%). Overall mobile service revenue (60% of revenue) grew 1.1% YoY compared to 2.1% last quarter. 
Enterprise (15% of revenue) accelerated to 6.2% YoY from 4.2%, driven by higher demand for fixed connectivity, IoT and Cloud services. The segment remains one of Maxis’ key priorities in 2025.
Fibre (9% of revenue) faced a tougher comparable and slowed to 1.6% YoY. The Home business added 7k home connections in Q4 to 723k; Home fibre ARPU improved to +1% YoY to RM109 from -0.3% previously.
Decline in mobile ARPU eased further. Mobile net additions were 89k in Q4 (2024: +315k), with 145k Postpaid net additions offsetting the 56k decline in Prepaid customers. As most of these were lower ARPU subscribers, the decline in blended mobile ARPU eased to -2.8% YoY from 5.4% prior. Of which, Prepaid ARPU eased to -5.1% YoY from -7.4% while Postpaid ARPU eased to -3.2% from -4.6%. 
Q4 EBITDA weaker on tougher comparable and higher network costs. Headline EBITDA fell by 6.9% on the back of higher network costs and tougher comparable base from higher government grants received last year. Maxis delivered RM321m of net profit which was in-line with consensus.
Capex spending in 2024 was RM 674m (2023: RM 813m) which was significantly lower than the “less than RM 1bn” guidance. Maxis maintained its capex guidance for 2025 which suggests to us that the 5G dual network structure in Malaysia is likely to stay as 5G capex is offloaded to DNB and U Mobile. As such, capex is likely to be allocated towards its fibre rollout and internal digitalisation initiatives.
Mobile pricing in Malaysia appears to be staging recovery as the decline in ARPU has started to ease as seen from Maxis and CelcomDigi’s numbers. Notwithstanding the competitive mobile dynamic, Maxis continues to display strength in Postpaid where net additions were driven by its effective pre to postpaid migration strategy. In addition, Enterprise continues to show promise although trends can be cyclical in nature. Our view is that the secular demand for B2B digitalisation as small and large businesses demand more non-mobile solutions like IoT and Cloud. Additionally, Maxis had previously teased about the incremental growth expected from connectivity revenue for Data Centres. We are Buyers with a RM 5.6 price target; however, the stock is not exactly cheap as it trades at 17x FY25 P/E.</t>
  </si>
  <si>
    <t>FY25 capex expected to be less than RM1bn</t>
  </si>
  <si>
    <t>FY25 EBITDA: flat to LSD</t>
  </si>
  <si>
    <t>FY25 SR guidance: LSD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</si>
</sst>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_-;\-* #,##0_-;_-* &quot;-&quot;??_-;_-@_-"/>
    <numFmt numFmtId="165" formatCode="0.0%"/>
    <numFmt numFmtId="166" formatCode="_-* #,##0.0_-;\-* #,##0.0_-;_-* &quot;-&quot;??_-;_-@_-"/>
    <numFmt numFmtId="167" formatCode="_-* #,##0.000_-;\-* #,##0.000_-;_-* &quot;-&quot;??_-;_-@_-"/>
    <numFmt numFmtId="168" formatCode="_([$€-2]* #,##0.00_);_([$€-2]* \(#,##0.00\);_([$€-2]* &quot;-&quot;??_)"/>
    <numFmt numFmtId="169" formatCode="_(* #,##0.00_);_(* \(#,##0.00\);_(* &quot;-&quot;??_);_(@_)"/>
    <numFmt numFmtId="170" formatCode="_(* #,##0_);_(* \(#,##0\);_(* &quot;-&quot;??_);_(@_)"/>
    <numFmt numFmtId="171" formatCode="[$$-1009]#,##0"/>
    <numFmt numFmtId="172" formatCode="_-* #,##0_-;* \(#,##0\)_-;_-* &quot;-&quot;??_-;_-@_-"/>
    <numFmt numFmtId="173" formatCode="_-* #,##0.0\x_-;* \(#,##0.0\x\)_-;_-* &quot;-&quot;??_-;_-@_-"/>
    <numFmt numFmtId="174" formatCode="#,##0.0;\-#,##0.0"/>
    <numFmt numFmtId="175" formatCode="_-* #,##0.00_-;* \(#,##0.00\)_-;_-* &quot;-&quot;??_-;_-@_-"/>
    <numFmt numFmtId="176" formatCode="_(* #,##0_);_(* \(#,##0\);_(* &quot;-&quot;_);_(@_)"/>
  </numFmts>
  <fonts count="41" x14ac:knownFonts="1">
    <font>
      <sz val="11"/>
      <color theme="1"/>
      <name val="Calibri"/>
      <family val="2"/>
      <scheme val="minor"/>
    </font>
    <font>
      <sz val="11"/>
      <color theme="1"/>
      <name val="Calibri"/>
      <family val="2"/>
      <scheme val="minor"/>
    </font>
    <font>
      <b/>
      <sz val="12"/>
      <color theme="0"/>
      <name val="Trebuchet MS"/>
      <family val="2"/>
    </font>
    <font>
      <sz val="12"/>
      <color theme="1"/>
      <name val="Trebuchet MS"/>
      <family val="2"/>
    </font>
    <font>
      <u/>
      <sz val="12"/>
      <color theme="1"/>
      <name val="Trebuchet MS"/>
      <family val="2"/>
    </font>
    <font>
      <sz val="8"/>
      <name val="Arial"/>
      <family val="2"/>
    </font>
    <font>
      <sz val="10"/>
      <name val="Arial"/>
      <family val="2"/>
    </font>
    <font>
      <b/>
      <sz val="16"/>
      <color theme="0"/>
      <name val="Trebuchet MS"/>
      <family val="2"/>
    </font>
    <font>
      <sz val="10"/>
      <name val="Trebuchet MS"/>
      <family val="2"/>
    </font>
    <font>
      <sz val="12"/>
      <name val="Trebuchet MS"/>
      <family val="2"/>
    </font>
    <font>
      <b/>
      <sz val="12"/>
      <color theme="1"/>
      <name val="Trebuchet MS"/>
      <family val="2"/>
    </font>
    <font>
      <u/>
      <sz val="11"/>
      <color theme="10"/>
      <name val="Calibri"/>
      <family val="2"/>
      <scheme val="minor"/>
    </font>
    <font>
      <sz val="12"/>
      <color theme="10"/>
      <name val="Trebuchet MS"/>
      <family val="2"/>
    </font>
    <font>
      <b/>
      <u/>
      <sz val="12"/>
      <color theme="1"/>
      <name val="Trebuchet MS"/>
      <family val="2"/>
    </font>
    <font>
      <b/>
      <sz val="11"/>
      <color theme="1"/>
      <name val="Calibri"/>
      <family val="2"/>
      <scheme val="minor"/>
    </font>
    <font>
      <b/>
      <sz val="11"/>
      <name val="Calibri"/>
      <family val="2"/>
      <scheme val="minor"/>
    </font>
    <font>
      <sz val="11"/>
      <name val="Calibri"/>
      <family val="2"/>
      <scheme val="minor"/>
    </font>
    <font>
      <sz val="11"/>
      <color rgb="FF0000FF"/>
      <name val="Calibri"/>
      <family val="2"/>
      <scheme val="minor"/>
    </font>
    <font>
      <sz val="9"/>
      <color indexed="81"/>
      <name val="Tahoma"/>
      <family val="2"/>
    </font>
    <font>
      <sz val="8"/>
      <name val="Calibri"/>
      <family val="2"/>
      <scheme val="minor"/>
    </font>
    <font>
      <b/>
      <sz val="9"/>
      <color indexed="81"/>
      <name val="Tahoma"/>
      <family val="2"/>
    </font>
    <font>
      <b/>
      <sz val="10"/>
      <color theme="1"/>
      <name val="Roboto"/>
    </font>
    <font>
      <b/>
      <sz val="10"/>
      <name val="Roboto"/>
    </font>
    <font>
      <sz val="10"/>
      <color theme="1"/>
      <name val="Roboto"/>
    </font>
    <font>
      <b/>
      <u/>
      <sz val="10"/>
      <name val="Roboto"/>
    </font>
    <font>
      <sz val="10"/>
      <name val="Roboto"/>
    </font>
    <font>
      <b/>
      <i/>
      <sz val="10"/>
      <name val="Roboto"/>
    </font>
    <font>
      <b/>
      <i/>
      <sz val="10"/>
      <color theme="1"/>
      <name val="Roboto"/>
    </font>
    <font>
      <i/>
      <sz val="10"/>
      <color theme="1"/>
      <name val="Roboto"/>
    </font>
    <font>
      <i/>
      <sz val="10"/>
      <name val="Roboto"/>
    </font>
    <font>
      <b/>
      <sz val="10"/>
      <color theme="0"/>
      <name val="Roboto"/>
    </font>
    <font>
      <sz val="10"/>
      <color rgb="FF0000FF"/>
      <name val="Roboto"/>
    </font>
    <font>
      <b/>
      <sz val="10"/>
      <color rgb="FF0000FF"/>
      <name val="Roboto"/>
    </font>
    <font>
      <sz val="10"/>
      <color theme="0"/>
      <name val="Roboto"/>
    </font>
    <font>
      <b/>
      <i/>
      <sz val="10"/>
      <color rgb="FF0000FF"/>
      <name val="Roboto"/>
    </font>
    <font>
      <b/>
      <sz val="10"/>
      <color theme="0"/>
      <name val="Trebuchet MS"/>
      <family val="2"/>
    </font>
    <font>
      <b/>
      <sz val="10"/>
      <color rgb="FFFF0000"/>
      <name val="Roboto"/>
    </font>
    <font>
      <sz val="14"/>
      <color theme="1"/>
      <name val="Roboto"/>
    </font>
    <font>
      <b/>
      <sz val="14"/>
      <color theme="1"/>
      <name val="Roboto"/>
    </font>
    <font>
      <sz val="10"/>
      <color rgb="FFFF0000"/>
      <name val="Roboto"/>
    </font>
    <font>
      <b/>
      <sz val="10"/>
      <name val="Trebuchet MS"/>
      <family val="2"/>
    </font>
  </fonts>
  <fills count="10">
    <fill>
      <patternFill patternType="none"/>
    </fill>
    <fill>
      <patternFill patternType="gray125"/>
    </fill>
    <fill>
      <patternFill patternType="solid">
        <fgColor theme="8" tint="-0.249977111117893"/>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tint="-0.14999847407452621"/>
        <bgColor indexed="64"/>
      </patternFill>
    </fill>
  </fills>
  <borders count="10">
    <border>
      <left/>
      <right/>
      <top/>
      <bottom/>
      <diagonal/>
    </border>
    <border>
      <left/>
      <right/>
      <top/>
      <bottom style="thin">
        <color indexed="64"/>
      </bottom>
      <diagonal/>
    </border>
    <border>
      <left style="thin">
        <color theme="0" tint="-0.249977111117893"/>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7">
    <xf numFmtId="0" fontId="0" fillId="0" borderId="0"/>
    <xf numFmtId="43" fontId="1" fillId="0" borderId="0" applyFont="0" applyFill="0" applyBorder="0" applyAlignment="0" applyProtection="0"/>
    <xf numFmtId="9" fontId="1" fillId="0" borderId="0" applyFont="0" applyFill="0" applyBorder="0" applyAlignment="0" applyProtection="0"/>
    <xf numFmtId="168" fontId="1" fillId="0" borderId="0"/>
    <xf numFmtId="0" fontId="5" fillId="0" borderId="0"/>
    <xf numFmtId="168" fontId="6" fillId="0" borderId="0"/>
    <xf numFmtId="169" fontId="1" fillId="0" borderId="0" applyFont="0" applyFill="0" applyBorder="0" applyAlignment="0" applyProtection="0"/>
    <xf numFmtId="0" fontId="6" fillId="0" borderId="0"/>
    <xf numFmtId="169" fontId="6" fillId="0" borderId="0" applyFont="0" applyFill="0" applyBorder="0" applyAlignment="0" applyProtection="0"/>
    <xf numFmtId="169" fontId="6" fillId="0" borderId="0" applyFont="0" applyFill="0" applyBorder="0" applyAlignment="0" applyProtection="0"/>
    <xf numFmtId="168" fontId="6" fillId="0" borderId="0"/>
    <xf numFmtId="168" fontId="5" fillId="0" borderId="0"/>
    <xf numFmtId="0" fontId="5" fillId="0" borderId="0"/>
    <xf numFmtId="0" fontId="11" fillId="0" borderId="0" applyNumberFormat="0" applyFill="0" applyBorder="0" applyAlignment="0" applyProtection="0"/>
    <xf numFmtId="0" fontId="8" fillId="0" borderId="0"/>
    <xf numFmtId="0" fontId="8" fillId="0" borderId="0"/>
    <xf numFmtId="0" fontId="1" fillId="0" borderId="0"/>
  </cellStyleXfs>
  <cellXfs count="324">
    <xf numFmtId="0" fontId="0" fillId="0" borderId="0" xfId="0"/>
    <xf numFmtId="0" fontId="2" fillId="2" borderId="0" xfId="0" applyFont="1" applyFill="1"/>
    <xf numFmtId="0" fontId="3" fillId="0" borderId="0" xfId="0" applyFont="1"/>
    <xf numFmtId="0" fontId="7" fillId="2" borderId="0" xfId="0" applyFont="1" applyFill="1"/>
    <xf numFmtId="0" fontId="10" fillId="4" borderId="0" xfId="0" applyFont="1" applyFill="1"/>
    <xf numFmtId="0" fontId="10" fillId="0" borderId="0" xfId="0" applyFont="1"/>
    <xf numFmtId="0" fontId="3" fillId="5" borderId="0" xfId="0" applyFont="1" applyFill="1"/>
    <xf numFmtId="0" fontId="12" fillId="5" borderId="0" xfId="13" applyFont="1" applyFill="1"/>
    <xf numFmtId="0" fontId="3" fillId="5" borderId="0" xfId="0" quotePrefix="1" applyFont="1" applyFill="1"/>
    <xf numFmtId="0" fontId="3" fillId="3" borderId="0" xfId="0" applyFont="1" applyFill="1"/>
    <xf numFmtId="0" fontId="11" fillId="5" borderId="0" xfId="13" applyFill="1"/>
    <xf numFmtId="0" fontId="13" fillId="5" borderId="0" xfId="0" applyFont="1" applyFill="1"/>
    <xf numFmtId="0" fontId="4" fillId="5" borderId="0" xfId="0" applyFont="1" applyFill="1"/>
    <xf numFmtId="0" fontId="9" fillId="5" borderId="0" xfId="0" applyFont="1" applyFill="1"/>
    <xf numFmtId="0" fontId="15" fillId="0" borderId="0" xfId="0" applyFont="1" applyAlignment="1">
      <alignment horizontal="left"/>
    </xf>
    <xf numFmtId="0" fontId="15" fillId="0" borderId="0" xfId="0" applyFont="1" applyAlignment="1">
      <alignment horizontal="center"/>
    </xf>
    <xf numFmtId="0" fontId="14" fillId="0" borderId="0" xfId="0" applyFont="1" applyAlignment="1">
      <alignment horizontal="center"/>
    </xf>
    <xf numFmtId="0" fontId="0" fillId="0" borderId="0" xfId="0" applyAlignment="1">
      <alignment horizontal="center"/>
    </xf>
    <xf numFmtId="0" fontId="16" fillId="0" borderId="0" xfId="0" applyFont="1" applyAlignment="1">
      <alignment horizontal="left"/>
    </xf>
    <xf numFmtId="0" fontId="16" fillId="0" borderId="0" xfId="0" applyFont="1" applyAlignment="1">
      <alignment horizontal="center"/>
    </xf>
    <xf numFmtId="14" fontId="16" fillId="0" borderId="0" xfId="0" applyNumberFormat="1" applyFont="1" applyAlignment="1">
      <alignment horizontal="center"/>
    </xf>
    <xf numFmtId="0" fontId="17" fillId="0" borderId="0" xfId="0" applyFont="1" applyAlignment="1">
      <alignment horizontal="center"/>
    </xf>
    <xf numFmtId="14" fontId="0" fillId="0" borderId="0" xfId="0" applyNumberFormat="1" applyAlignment="1">
      <alignment horizontal="center"/>
    </xf>
    <xf numFmtId="0" fontId="2" fillId="5" borderId="0" xfId="0" applyFont="1" applyFill="1"/>
    <xf numFmtId="0" fontId="3" fillId="5" borderId="0" xfId="0" applyFont="1" applyFill="1" applyAlignment="1">
      <alignment horizontal="left"/>
    </xf>
    <xf numFmtId="0" fontId="3" fillId="6" borderId="5" xfId="0" applyFont="1" applyFill="1" applyBorder="1" applyAlignment="1">
      <alignment horizontal="center"/>
    </xf>
    <xf numFmtId="0" fontId="3" fillId="0" borderId="0" xfId="0" applyFont="1" applyAlignment="1">
      <alignment horizontal="left"/>
    </xf>
    <xf numFmtId="0" fontId="3" fillId="5" borderId="0" xfId="0" applyFont="1" applyFill="1" applyAlignment="1">
      <alignment horizontal="center"/>
    </xf>
    <xf numFmtId="0" fontId="3" fillId="7" borderId="5" xfId="0" applyFont="1" applyFill="1" applyBorder="1" applyAlignment="1">
      <alignment horizontal="center"/>
    </xf>
    <xf numFmtId="0" fontId="3" fillId="6" borderId="0" xfId="0" applyFont="1" applyFill="1" applyAlignment="1">
      <alignment horizontal="right"/>
    </xf>
    <xf numFmtId="37" fontId="3" fillId="5" borderId="0" xfId="0" applyNumberFormat="1" applyFont="1" applyFill="1" applyAlignment="1">
      <alignment horizontal="center"/>
    </xf>
    <xf numFmtId="165" fontId="3" fillId="5" borderId="0" xfId="0" applyNumberFormat="1" applyFont="1" applyFill="1" applyAlignment="1">
      <alignment horizontal="center"/>
    </xf>
    <xf numFmtId="174" fontId="3" fillId="5" borderId="0" xfId="0" applyNumberFormat="1" applyFont="1" applyFill="1" applyAlignment="1">
      <alignment horizontal="center"/>
    </xf>
    <xf numFmtId="9" fontId="3" fillId="5" borderId="0" xfId="0" applyNumberFormat="1" applyFont="1" applyFill="1"/>
    <xf numFmtId="165" fontId="3" fillId="5" borderId="0" xfId="0" applyNumberFormat="1" applyFont="1" applyFill="1"/>
    <xf numFmtId="0" fontId="21" fillId="4" borderId="0" xfId="0" applyFont="1" applyFill="1"/>
    <xf numFmtId="0" fontId="21" fillId="4" borderId="0" xfId="0" applyFont="1" applyFill="1" applyAlignment="1">
      <alignment horizontal="right"/>
    </xf>
    <xf numFmtId="0" fontId="21" fillId="0" borderId="0" xfId="0" applyFont="1"/>
    <xf numFmtId="0" fontId="23" fillId="0" borderId="0" xfId="0" applyFont="1"/>
    <xf numFmtId="0" fontId="22" fillId="0" borderId="0" xfId="3" applyNumberFormat="1" applyFont="1" applyAlignment="1">
      <alignment horizontal="left"/>
    </xf>
    <xf numFmtId="17" fontId="22" fillId="0" borderId="0" xfId="4" quotePrefix="1" applyNumberFormat="1" applyFont="1" applyAlignment="1">
      <alignment horizontal="right" vertical="center"/>
    </xf>
    <xf numFmtId="0" fontId="24" fillId="0" borderId="0" xfId="3" applyNumberFormat="1" applyFont="1" applyAlignment="1">
      <alignment horizontal="left"/>
    </xf>
    <xf numFmtId="0" fontId="25" fillId="0" borderId="0" xfId="3" applyNumberFormat="1" applyFont="1" applyAlignment="1">
      <alignment horizontal="left"/>
    </xf>
    <xf numFmtId="164" fontId="25" fillId="0" borderId="0" xfId="1" quotePrefix="1" applyNumberFormat="1" applyFont="1" applyFill="1" applyBorder="1" applyAlignment="1">
      <alignment horizontal="right" vertical="center"/>
    </xf>
    <xf numFmtId="164" fontId="25" fillId="0" borderId="0" xfId="1" applyNumberFormat="1" applyFont="1" applyFill="1" applyBorder="1" applyAlignment="1">
      <alignment horizontal="right" vertical="center"/>
    </xf>
    <xf numFmtId="164" fontId="25" fillId="0" borderId="0" xfId="1" quotePrefix="1" applyNumberFormat="1" applyFont="1" applyFill="1" applyBorder="1" applyAlignment="1" applyProtection="1">
      <alignment horizontal="right" vertical="center" wrapText="1"/>
    </xf>
    <xf numFmtId="164" fontId="25" fillId="0" borderId="0" xfId="1" applyNumberFormat="1" applyFont="1" applyFill="1" applyBorder="1" applyAlignment="1">
      <alignment horizontal="right"/>
    </xf>
    <xf numFmtId="0" fontId="23" fillId="0" borderId="0" xfId="0" applyFont="1" applyAlignment="1">
      <alignment horizontal="right"/>
    </xf>
    <xf numFmtId="43" fontId="23" fillId="0" borderId="0" xfId="0" applyNumberFormat="1" applyFont="1" applyAlignment="1">
      <alignment horizontal="right"/>
    </xf>
    <xf numFmtId="43" fontId="25" fillId="0" borderId="0" xfId="0" applyNumberFormat="1" applyFont="1" applyAlignment="1">
      <alignment horizontal="right"/>
    </xf>
    <xf numFmtId="164" fontId="22" fillId="0" borderId="0" xfId="1" quotePrefix="1" applyNumberFormat="1" applyFont="1" applyFill="1" applyBorder="1" applyAlignment="1">
      <alignment horizontal="right" vertical="center"/>
    </xf>
    <xf numFmtId="164" fontId="23" fillId="0" borderId="0" xfId="0" applyNumberFormat="1" applyFont="1"/>
    <xf numFmtId="165" fontId="23" fillId="0" borderId="0" xfId="2" applyNumberFormat="1" applyFont="1" applyFill="1" applyBorder="1"/>
    <xf numFmtId="0" fontId="22" fillId="0" borderId="0" xfId="4" applyFont="1" applyAlignment="1">
      <alignment horizontal="right" vertical="center"/>
    </xf>
    <xf numFmtId="0" fontId="22" fillId="0" borderId="0" xfId="3" quotePrefix="1" applyNumberFormat="1" applyFont="1" applyAlignment="1">
      <alignment horizontal="right" vertical="center" wrapText="1"/>
    </xf>
    <xf numFmtId="168" fontId="22" fillId="0" borderId="0" xfId="5" applyFont="1" applyAlignment="1">
      <alignment horizontal="right"/>
    </xf>
    <xf numFmtId="0" fontId="22" fillId="0" borderId="0" xfId="4" quotePrefix="1" applyFont="1" applyAlignment="1">
      <alignment horizontal="right" vertical="center"/>
    </xf>
    <xf numFmtId="9" fontId="23" fillId="0" borderId="0" xfId="2" applyFont="1" applyFill="1" applyBorder="1"/>
    <xf numFmtId="9" fontId="25" fillId="0" borderId="0" xfId="2" quotePrefix="1" applyFont="1" applyFill="1" applyBorder="1" applyAlignment="1">
      <alignment horizontal="right" vertical="center"/>
    </xf>
    <xf numFmtId="0" fontId="25" fillId="0" borderId="0" xfId="3" applyNumberFormat="1" applyFont="1" applyAlignment="1">
      <alignment horizontal="left" indent="1"/>
    </xf>
    <xf numFmtId="164" fontId="25" fillId="8" borderId="0" xfId="1" quotePrefix="1" applyNumberFormat="1" applyFont="1" applyFill="1" applyBorder="1" applyAlignment="1">
      <alignment horizontal="right" vertical="center"/>
    </xf>
    <xf numFmtId="0" fontId="22" fillId="0" borderId="9" xfId="3" applyNumberFormat="1" applyFont="1" applyBorder="1" applyAlignment="1">
      <alignment horizontal="left"/>
    </xf>
    <xf numFmtId="164" fontId="22" fillId="0" borderId="9" xfId="1" applyNumberFormat="1" applyFont="1" applyFill="1" applyBorder="1" applyAlignment="1">
      <alignment horizontal="right" vertical="center"/>
    </xf>
    <xf numFmtId="164" fontId="22" fillId="0" borderId="9" xfId="1" quotePrefix="1" applyNumberFormat="1" applyFont="1" applyFill="1" applyBorder="1" applyAlignment="1">
      <alignment horizontal="right" vertical="center"/>
    </xf>
    <xf numFmtId="164" fontId="22" fillId="0" borderId="9" xfId="1" applyNumberFormat="1" applyFont="1" applyFill="1" applyBorder="1" applyAlignment="1">
      <alignment horizontal="right"/>
    </xf>
    <xf numFmtId="164" fontId="22" fillId="0" borderId="9" xfId="1" quotePrefix="1" applyNumberFormat="1" applyFont="1" applyFill="1" applyBorder="1" applyAlignment="1" applyProtection="1">
      <alignment horizontal="right" vertical="center" wrapText="1"/>
    </xf>
    <xf numFmtId="167" fontId="25" fillId="0" borderId="0" xfId="1" quotePrefix="1" applyNumberFormat="1" applyFont="1" applyFill="1" applyBorder="1" applyAlignment="1">
      <alignment horizontal="right" vertical="center"/>
    </xf>
    <xf numFmtId="0" fontId="22" fillId="9" borderId="7" xfId="3" applyNumberFormat="1" applyFont="1" applyFill="1" applyBorder="1" applyAlignment="1">
      <alignment horizontal="left"/>
    </xf>
    <xf numFmtId="172" fontId="22" fillId="9" borderId="7" xfId="1" applyNumberFormat="1" applyFont="1" applyFill="1" applyBorder="1" applyAlignment="1">
      <alignment horizontal="right" vertical="center"/>
    </xf>
    <xf numFmtId="172" fontId="23" fillId="0" borderId="0" xfId="0" applyNumberFormat="1" applyFont="1"/>
    <xf numFmtId="0" fontId="26" fillId="0" borderId="0" xfId="3" applyNumberFormat="1" applyFont="1" applyAlignment="1">
      <alignment horizontal="left"/>
    </xf>
    <xf numFmtId="172" fontId="27" fillId="0" borderId="0" xfId="1" applyNumberFormat="1" applyFont="1" applyFill="1" applyBorder="1" applyAlignment="1">
      <alignment horizontal="right" vertical="center"/>
    </xf>
    <xf numFmtId="172" fontId="26" fillId="0" borderId="0" xfId="1" applyNumberFormat="1" applyFont="1" applyFill="1" applyBorder="1" applyAlignment="1">
      <alignment horizontal="right" vertical="center"/>
    </xf>
    <xf numFmtId="0" fontId="28" fillId="0" borderId="0" xfId="0" applyFont="1"/>
    <xf numFmtId="172" fontId="21" fillId="0" borderId="0" xfId="1" applyNumberFormat="1" applyFont="1" applyFill="1" applyBorder="1" applyAlignment="1">
      <alignment horizontal="right" vertical="center"/>
    </xf>
    <xf numFmtId="172" fontId="22" fillId="0" borderId="0" xfId="1" applyNumberFormat="1" applyFont="1" applyFill="1" applyBorder="1" applyAlignment="1">
      <alignment horizontal="right" vertical="center"/>
    </xf>
    <xf numFmtId="9" fontId="22" fillId="0" borderId="0" xfId="2" applyFont="1" applyFill="1" applyBorder="1" applyAlignment="1">
      <alignment horizontal="right" vertical="center"/>
    </xf>
    <xf numFmtId="172" fontId="21" fillId="0" borderId="9" xfId="1" applyNumberFormat="1" applyFont="1" applyFill="1" applyBorder="1" applyAlignment="1">
      <alignment horizontal="right" vertical="center"/>
    </xf>
    <xf numFmtId="172" fontId="22" fillId="0" borderId="9" xfId="1" applyNumberFormat="1" applyFont="1" applyFill="1" applyBorder="1" applyAlignment="1">
      <alignment horizontal="right" vertical="center"/>
    </xf>
    <xf numFmtId="0" fontId="29" fillId="0" borderId="0" xfId="3" applyNumberFormat="1" applyFont="1" applyAlignment="1">
      <alignment horizontal="left"/>
    </xf>
    <xf numFmtId="172" fontId="22" fillId="0" borderId="1" xfId="1" applyNumberFormat="1" applyFont="1" applyFill="1" applyBorder="1" applyAlignment="1">
      <alignment horizontal="right" vertical="center"/>
    </xf>
    <xf numFmtId="0" fontId="23" fillId="0" borderId="1" xfId="0" applyFont="1" applyBorder="1"/>
    <xf numFmtId="172" fontId="23" fillId="0" borderId="1" xfId="0" applyNumberFormat="1" applyFont="1" applyBorder="1"/>
    <xf numFmtId="0" fontId="22" fillId="9" borderId="9" xfId="3" applyNumberFormat="1" applyFont="1" applyFill="1" applyBorder="1" applyAlignment="1">
      <alignment horizontal="left" wrapText="1"/>
    </xf>
    <xf numFmtId="172" fontId="22" fillId="9" borderId="0" xfId="1" applyNumberFormat="1" applyFont="1" applyFill="1" applyBorder="1" applyAlignment="1">
      <alignment horizontal="right" vertical="center"/>
    </xf>
    <xf numFmtId="170" fontId="25" fillId="0" borderId="0" xfId="9" applyNumberFormat="1" applyFont="1" applyFill="1" applyBorder="1" applyAlignment="1">
      <alignment horizontal="left"/>
    </xf>
    <xf numFmtId="165" fontId="25" fillId="0" borderId="0" xfId="2" applyNumberFormat="1" applyFont="1" applyFill="1" applyBorder="1" applyAlignment="1">
      <alignment horizontal="right" vertical="center"/>
    </xf>
    <xf numFmtId="43" fontId="28" fillId="0" borderId="0" xfId="0" applyNumberFormat="1" applyFont="1"/>
    <xf numFmtId="164" fontId="28" fillId="0" borderId="0" xfId="1" applyNumberFormat="1" applyFont="1" applyFill="1" applyBorder="1"/>
    <xf numFmtId="170" fontId="22" fillId="0" borderId="0" xfId="9" applyNumberFormat="1" applyFont="1" applyFill="1" applyBorder="1" applyAlignment="1">
      <alignment horizontal="left"/>
    </xf>
    <xf numFmtId="172" fontId="25" fillId="0" borderId="0" xfId="1" applyNumberFormat="1" applyFont="1" applyFill="1" applyBorder="1" applyAlignment="1">
      <alignment horizontal="right" vertical="center"/>
    </xf>
    <xf numFmtId="164" fontId="25" fillId="9" borderId="0" xfId="1" applyNumberFormat="1" applyFont="1" applyFill="1" applyBorder="1" applyAlignment="1">
      <alignment horizontal="left"/>
    </xf>
    <xf numFmtId="171" fontId="21" fillId="0" borderId="0" xfId="0" applyNumberFormat="1" applyFont="1"/>
    <xf numFmtId="0" fontId="25" fillId="0" borderId="0" xfId="3" applyNumberFormat="1" applyFont="1" applyAlignment="1">
      <alignment horizontal="left" wrapText="1"/>
    </xf>
    <xf numFmtId="43" fontId="23" fillId="0" borderId="0" xfId="0" applyNumberFormat="1" applyFont="1"/>
    <xf numFmtId="170" fontId="25" fillId="0" borderId="0" xfId="9" applyNumberFormat="1" applyFont="1" applyBorder="1" applyAlignment="1">
      <alignment horizontal="left"/>
    </xf>
    <xf numFmtId="172" fontId="23" fillId="0" borderId="0" xfId="1" applyNumberFormat="1" applyFont="1" applyFill="1" applyBorder="1" applyAlignment="1">
      <alignment horizontal="right"/>
    </xf>
    <xf numFmtId="172" fontId="25" fillId="0" borderId="0" xfId="1" applyNumberFormat="1" applyFont="1" applyFill="1" applyBorder="1" applyAlignment="1">
      <alignment horizontal="right"/>
    </xf>
    <xf numFmtId="0" fontId="25" fillId="0" borderId="1" xfId="3" applyNumberFormat="1" applyFont="1" applyBorder="1" applyAlignment="1">
      <alignment horizontal="left"/>
    </xf>
    <xf numFmtId="172" fontId="25" fillId="0" borderId="1" xfId="1" applyNumberFormat="1" applyFont="1" applyFill="1" applyBorder="1" applyAlignment="1">
      <alignment horizontal="right"/>
    </xf>
    <xf numFmtId="0" fontId="22" fillId="9" borderId="0" xfId="3" applyNumberFormat="1" applyFont="1" applyFill="1" applyAlignment="1">
      <alignment horizontal="left"/>
    </xf>
    <xf numFmtId="172" fontId="22" fillId="9" borderId="0" xfId="1" applyNumberFormat="1" applyFont="1" applyFill="1" applyBorder="1" applyAlignment="1">
      <alignment horizontal="right"/>
    </xf>
    <xf numFmtId="172" fontId="21" fillId="0" borderId="0" xfId="1" applyNumberFormat="1" applyFont="1" applyFill="1" applyBorder="1" applyAlignment="1">
      <alignment horizontal="right"/>
    </xf>
    <xf numFmtId="172" fontId="22" fillId="0" borderId="0" xfId="1" applyNumberFormat="1" applyFont="1" applyFill="1" applyBorder="1" applyAlignment="1">
      <alignment horizontal="right"/>
    </xf>
    <xf numFmtId="175" fontId="22" fillId="0" borderId="0" xfId="1" applyNumberFormat="1" applyFont="1" applyFill="1" applyBorder="1" applyAlignment="1">
      <alignment horizontal="right"/>
    </xf>
    <xf numFmtId="167" fontId="23" fillId="0" borderId="0" xfId="1" applyNumberFormat="1" applyFont="1" applyFill="1" applyBorder="1" applyAlignment="1">
      <alignment horizontal="right"/>
    </xf>
    <xf numFmtId="0" fontId="25" fillId="0" borderId="0" xfId="0" applyFont="1"/>
    <xf numFmtId="167" fontId="25" fillId="0" borderId="0" xfId="1" applyNumberFormat="1" applyFont="1" applyFill="1" applyBorder="1" applyAlignment="1">
      <alignment horizontal="right"/>
    </xf>
    <xf numFmtId="170" fontId="25" fillId="0" borderId="0" xfId="7" applyNumberFormat="1" applyFont="1" applyAlignment="1">
      <alignment horizontal="left" indent="3"/>
    </xf>
    <xf numFmtId="169" fontId="25" fillId="0" borderId="0" xfId="8" applyFont="1" applyFill="1" applyBorder="1" applyAlignment="1">
      <alignment horizontal="right" vertical="center"/>
    </xf>
    <xf numFmtId="169" fontId="25" fillId="0" borderId="0" xfId="7" applyNumberFormat="1" applyFont="1" applyAlignment="1">
      <alignment horizontal="right" indent="3"/>
    </xf>
    <xf numFmtId="0" fontId="30" fillId="2" borderId="0" xfId="0" applyFont="1" applyFill="1"/>
    <xf numFmtId="0" fontId="30" fillId="2" borderId="0" xfId="0" applyFont="1" applyFill="1" applyAlignment="1">
      <alignment horizontal="right"/>
    </xf>
    <xf numFmtId="0" fontId="30" fillId="0" borderId="0" xfId="0" applyFont="1"/>
    <xf numFmtId="0" fontId="22" fillId="2" borderId="0" xfId="0" applyFont="1" applyFill="1" applyAlignment="1">
      <alignment horizontal="right"/>
    </xf>
    <xf numFmtId="0" fontId="25" fillId="0" borderId="0" xfId="0" applyFont="1" applyAlignment="1">
      <alignment horizontal="right"/>
    </xf>
    <xf numFmtId="165" fontId="25" fillId="0" borderId="0" xfId="2" applyNumberFormat="1" applyFont="1" applyBorder="1" applyAlignment="1">
      <alignment horizontal="right"/>
    </xf>
    <xf numFmtId="164" fontId="23" fillId="0" borderId="0" xfId="0" applyNumberFormat="1" applyFont="1" applyAlignment="1">
      <alignment horizontal="right"/>
    </xf>
    <xf numFmtId="164" fontId="25" fillId="0" borderId="0" xfId="0" applyNumberFormat="1" applyFont="1" applyAlignment="1">
      <alignment horizontal="right"/>
    </xf>
    <xf numFmtId="0" fontId="21" fillId="0" borderId="0" xfId="0" applyFont="1" applyAlignment="1">
      <alignment horizontal="right"/>
    </xf>
    <xf numFmtId="165" fontId="21" fillId="0" borderId="0" xfId="2" applyNumberFormat="1" applyFont="1" applyAlignment="1">
      <alignment horizontal="right"/>
    </xf>
    <xf numFmtId="165" fontId="22" fillId="0" borderId="4" xfId="2" applyNumberFormat="1" applyFont="1" applyBorder="1" applyAlignment="1">
      <alignment horizontal="right"/>
    </xf>
    <xf numFmtId="165" fontId="23" fillId="0" borderId="0" xfId="2" applyNumberFormat="1" applyFont="1" applyAlignment="1">
      <alignment horizontal="right"/>
    </xf>
    <xf numFmtId="165" fontId="23" fillId="0" borderId="0" xfId="2" applyNumberFormat="1" applyFont="1" applyBorder="1" applyAlignment="1">
      <alignment horizontal="right"/>
    </xf>
    <xf numFmtId="165" fontId="25" fillId="0" borderId="0" xfId="2" applyNumberFormat="1" applyFont="1" applyAlignment="1">
      <alignment horizontal="right"/>
    </xf>
    <xf numFmtId="164" fontId="23" fillId="0" borderId="0" xfId="1" applyNumberFormat="1" applyFont="1" applyAlignment="1">
      <alignment horizontal="right"/>
    </xf>
    <xf numFmtId="165" fontId="31" fillId="0" borderId="0" xfId="2" applyNumberFormat="1" applyFont="1" applyBorder="1" applyAlignment="1">
      <alignment horizontal="right"/>
    </xf>
    <xf numFmtId="165" fontId="31" fillId="0" borderId="7" xfId="2" applyNumberFormat="1" applyFont="1" applyBorder="1" applyAlignment="1">
      <alignment horizontal="right"/>
    </xf>
    <xf numFmtId="165" fontId="25" fillId="0" borderId="7" xfId="2" applyNumberFormat="1" applyFont="1" applyBorder="1" applyAlignment="1">
      <alignment horizontal="right"/>
    </xf>
    <xf numFmtId="164" fontId="21" fillId="0" borderId="0" xfId="0" applyNumberFormat="1" applyFont="1" applyAlignment="1">
      <alignment horizontal="right"/>
    </xf>
    <xf numFmtId="165" fontId="32" fillId="0" borderId="4" xfId="2" applyNumberFormat="1" applyFont="1" applyBorder="1" applyAlignment="1">
      <alignment horizontal="right"/>
    </xf>
    <xf numFmtId="165" fontId="25" fillId="0" borderId="8" xfId="2" applyNumberFormat="1" applyFont="1" applyBorder="1" applyAlignment="1">
      <alignment horizontal="right"/>
    </xf>
    <xf numFmtId="165" fontId="22" fillId="0" borderId="0" xfId="0" applyNumberFormat="1" applyFont="1" applyAlignment="1">
      <alignment horizontal="right"/>
    </xf>
    <xf numFmtId="164" fontId="31" fillId="0" borderId="0" xfId="0" applyNumberFormat="1" applyFont="1" applyAlignment="1">
      <alignment horizontal="right"/>
    </xf>
    <xf numFmtId="165" fontId="25" fillId="0" borderId="0" xfId="0" applyNumberFormat="1" applyFont="1" applyAlignment="1">
      <alignment horizontal="right"/>
    </xf>
    <xf numFmtId="9" fontId="25" fillId="0" borderId="0" xfId="1" quotePrefix="1" applyNumberFormat="1" applyFont="1" applyFill="1" applyBorder="1" applyAlignment="1">
      <alignment horizontal="right" vertical="center"/>
    </xf>
    <xf numFmtId="9" fontId="25" fillId="0" borderId="0" xfId="1" quotePrefix="1" applyNumberFormat="1" applyFont="1" applyFill="1" applyBorder="1" applyAlignment="1">
      <alignment horizontal="center" vertical="center"/>
    </xf>
    <xf numFmtId="172" fontId="25" fillId="0" borderId="0" xfId="0" applyNumberFormat="1" applyFont="1" applyAlignment="1">
      <alignment horizontal="right"/>
    </xf>
    <xf numFmtId="172" fontId="31" fillId="0" borderId="0" xfId="0" applyNumberFormat="1" applyFont="1" applyAlignment="1">
      <alignment horizontal="right"/>
    </xf>
    <xf numFmtId="165" fontId="31" fillId="0" borderId="0" xfId="0" applyNumberFormat="1" applyFont="1" applyAlignment="1">
      <alignment horizontal="right"/>
    </xf>
    <xf numFmtId="0" fontId="31" fillId="0" borderId="0" xfId="0" applyFont="1" applyAlignment="1">
      <alignment horizontal="right"/>
    </xf>
    <xf numFmtId="9" fontId="25" fillId="0" borderId="0" xfId="0" applyNumberFormat="1" applyFont="1" applyAlignment="1">
      <alignment horizontal="right"/>
    </xf>
    <xf numFmtId="0" fontId="23" fillId="0" borderId="0" xfId="0" quotePrefix="1" applyFont="1"/>
    <xf numFmtId="164" fontId="25" fillId="0" borderId="0" xfId="0" applyNumberFormat="1" applyFont="1"/>
    <xf numFmtId="166" fontId="22" fillId="0" borderId="0" xfId="1" applyNumberFormat="1" applyFont="1"/>
    <xf numFmtId="166" fontId="22" fillId="0" borderId="0" xfId="1" applyNumberFormat="1" applyFont="1" applyBorder="1"/>
    <xf numFmtId="164" fontId="22" fillId="0" borderId="0" xfId="1" applyNumberFormat="1" applyFont="1" applyBorder="1"/>
    <xf numFmtId="0" fontId="22" fillId="0" borderId="0" xfId="0" applyFont="1"/>
    <xf numFmtId="164" fontId="22" fillId="0" borderId="0" xfId="1" applyNumberFormat="1" applyFont="1"/>
    <xf numFmtId="165" fontId="25" fillId="0" borderId="0" xfId="2" applyNumberFormat="1" applyFont="1" applyBorder="1"/>
    <xf numFmtId="165" fontId="25" fillId="0" borderId="0" xfId="2" applyNumberFormat="1" applyFont="1"/>
    <xf numFmtId="166" fontId="25" fillId="0" borderId="0" xfId="1" applyNumberFormat="1" applyFont="1"/>
    <xf numFmtId="164" fontId="25" fillId="0" borderId="0" xfId="1" applyNumberFormat="1" applyFont="1"/>
    <xf numFmtId="164" fontId="25" fillId="0" borderId="6" xfId="1" applyNumberFormat="1" applyFont="1" applyBorder="1"/>
    <xf numFmtId="164" fontId="25" fillId="0" borderId="7" xfId="1" applyNumberFormat="1" applyFont="1" applyBorder="1"/>
    <xf numFmtId="164" fontId="25" fillId="0" borderId="7" xfId="1" applyNumberFormat="1" applyFont="1" applyFill="1" applyBorder="1"/>
    <xf numFmtId="166" fontId="25" fillId="0" borderId="0" xfId="1" applyNumberFormat="1" applyFont="1" applyBorder="1"/>
    <xf numFmtId="9" fontId="25" fillId="0" borderId="0" xfId="2" applyFont="1" applyBorder="1"/>
    <xf numFmtId="9" fontId="25" fillId="8" borderId="0" xfId="2" applyFont="1" applyFill="1" applyBorder="1"/>
    <xf numFmtId="164" fontId="25" fillId="8" borderId="7" xfId="1" applyNumberFormat="1" applyFont="1" applyFill="1" applyBorder="1"/>
    <xf numFmtId="164" fontId="25" fillId="0" borderId="0" xfId="1" applyNumberFormat="1" applyFont="1" applyBorder="1"/>
    <xf numFmtId="164" fontId="25" fillId="8" borderId="0" xfId="1" applyNumberFormat="1" applyFont="1" applyFill="1" applyBorder="1"/>
    <xf numFmtId="43" fontId="25" fillId="0" borderId="0" xfId="1" applyFont="1"/>
    <xf numFmtId="43" fontId="25" fillId="0" borderId="0" xfId="1" applyFont="1" applyBorder="1"/>
    <xf numFmtId="167" fontId="25" fillId="0" borderId="0" xfId="1" applyNumberFormat="1" applyFont="1" applyBorder="1"/>
    <xf numFmtId="164" fontId="25" fillId="0" borderId="0" xfId="1" applyNumberFormat="1" applyFont="1" applyFill="1"/>
    <xf numFmtId="164" fontId="25" fillId="0" borderId="0" xfId="1" applyNumberFormat="1" applyFont="1" applyFill="1" applyBorder="1"/>
    <xf numFmtId="43" fontId="25" fillId="0" borderId="0" xfId="1" applyFont="1" applyFill="1"/>
    <xf numFmtId="43" fontId="25" fillId="0" borderId="0" xfId="1" applyFont="1" applyFill="1" applyBorder="1"/>
    <xf numFmtId="166" fontId="25" fillId="0" borderId="0" xfId="1" applyNumberFormat="1" applyFont="1" applyFill="1"/>
    <xf numFmtId="166" fontId="25" fillId="0" borderId="0" xfId="1" applyNumberFormat="1" applyFont="1" applyFill="1" applyBorder="1"/>
    <xf numFmtId="166" fontId="25" fillId="0" borderId="6" xfId="1" applyNumberFormat="1" applyFont="1" applyFill="1" applyBorder="1"/>
    <xf numFmtId="166" fontId="25" fillId="0" borderId="7" xfId="1" applyNumberFormat="1" applyFont="1" applyFill="1" applyBorder="1"/>
    <xf numFmtId="164" fontId="30" fillId="2" borderId="0" xfId="0" applyNumberFormat="1" applyFont="1" applyFill="1"/>
    <xf numFmtId="164" fontId="22" fillId="2" borderId="0" xfId="0" applyNumberFormat="1" applyFont="1" applyFill="1"/>
    <xf numFmtId="164" fontId="23" fillId="0" borderId="0" xfId="1" applyNumberFormat="1" applyFont="1"/>
    <xf numFmtId="164" fontId="23" fillId="0" borderId="0" xfId="1" applyNumberFormat="1" applyFont="1" applyBorder="1"/>
    <xf numFmtId="164" fontId="21" fillId="0" borderId="0" xfId="1" applyNumberFormat="1" applyFont="1"/>
    <xf numFmtId="166" fontId="22" fillId="0" borderId="4" xfId="1" applyNumberFormat="1" applyFont="1" applyBorder="1"/>
    <xf numFmtId="165" fontId="23" fillId="0" borderId="0" xfId="2" applyNumberFormat="1" applyFont="1"/>
    <xf numFmtId="165" fontId="23" fillId="0" borderId="0" xfId="2" applyNumberFormat="1" applyFont="1" applyBorder="1"/>
    <xf numFmtId="165" fontId="21" fillId="0" borderId="0" xfId="2" applyNumberFormat="1" applyFont="1"/>
    <xf numFmtId="165" fontId="22" fillId="0" borderId="4" xfId="2" applyNumberFormat="1" applyFont="1" applyBorder="1"/>
    <xf numFmtId="165" fontId="23" fillId="0" borderId="0" xfId="2" applyNumberFormat="1" applyFont="1" applyFill="1"/>
    <xf numFmtId="165" fontId="25" fillId="0" borderId="0" xfId="2" applyNumberFormat="1" applyFont="1" applyFill="1" applyBorder="1"/>
    <xf numFmtId="165" fontId="25" fillId="0" borderId="0" xfId="2" applyNumberFormat="1" applyFont="1" applyFill="1"/>
    <xf numFmtId="43" fontId="23" fillId="0" borderId="0" xfId="1" applyFont="1"/>
    <xf numFmtId="43" fontId="23" fillId="0" borderId="0" xfId="1" applyFont="1" applyFill="1"/>
    <xf numFmtId="17" fontId="22" fillId="0" borderId="0" xfId="4" quotePrefix="1" applyNumberFormat="1" applyFont="1" applyAlignment="1">
      <alignment horizontal="center" vertical="center"/>
    </xf>
    <xf numFmtId="0" fontId="22" fillId="0" borderId="0" xfId="4" applyFont="1" applyAlignment="1">
      <alignment horizontal="center" vertical="center"/>
    </xf>
    <xf numFmtId="0" fontId="22" fillId="0" borderId="0" xfId="3" quotePrefix="1" applyNumberFormat="1" applyFont="1" applyAlignment="1">
      <alignment horizontal="center" vertical="center" wrapText="1"/>
    </xf>
    <xf numFmtId="168" fontId="22" fillId="0" borderId="0" xfId="5" applyFont="1" applyAlignment="1">
      <alignment horizontal="center"/>
    </xf>
    <xf numFmtId="0" fontId="22" fillId="0" borderId="0" xfId="4" quotePrefix="1" applyFont="1" applyAlignment="1">
      <alignment horizontal="center" vertical="center"/>
    </xf>
    <xf numFmtId="170" fontId="22" fillId="0" borderId="2" xfId="7" applyNumberFormat="1" applyFont="1" applyBorder="1"/>
    <xf numFmtId="170" fontId="25" fillId="0" borderId="0" xfId="10" applyNumberFormat="1" applyFont="1"/>
    <xf numFmtId="170" fontId="25" fillId="0" borderId="0" xfId="7" applyNumberFormat="1" applyFont="1"/>
    <xf numFmtId="170" fontId="23" fillId="0" borderId="0" xfId="0" applyNumberFormat="1" applyFont="1"/>
    <xf numFmtId="170" fontId="22" fillId="0" borderId="0" xfId="7" applyNumberFormat="1" applyFont="1"/>
    <xf numFmtId="170" fontId="25" fillId="0" borderId="0" xfId="8" applyNumberFormat="1" applyFont="1" applyFill="1" applyBorder="1" applyAlignment="1">
      <alignment horizontal="center" vertical="center"/>
    </xf>
    <xf numFmtId="170" fontId="22" fillId="0" borderId="0" xfId="10" applyNumberFormat="1" applyFont="1"/>
    <xf numFmtId="170" fontId="22" fillId="0" borderId="0" xfId="8" applyNumberFormat="1" applyFont="1" applyFill="1" applyBorder="1" applyAlignment="1">
      <alignment horizontal="center" vertical="center"/>
    </xf>
    <xf numFmtId="0" fontId="33" fillId="2" borderId="0" xfId="0" applyFont="1" applyFill="1"/>
    <xf numFmtId="0" fontId="25" fillId="2" borderId="0" xfId="0" applyFont="1" applyFill="1"/>
    <xf numFmtId="0" fontId="33" fillId="0" borderId="0" xfId="0" applyFont="1"/>
    <xf numFmtId="165" fontId="25" fillId="0" borderId="4" xfId="2" applyNumberFormat="1" applyFont="1" applyFill="1" applyBorder="1"/>
    <xf numFmtId="43" fontId="25" fillId="0" borderId="4" xfId="0" applyNumberFormat="1" applyFont="1" applyBorder="1"/>
    <xf numFmtId="170" fontId="25" fillId="0" borderId="0" xfId="0" applyNumberFormat="1" applyFont="1"/>
    <xf numFmtId="0" fontId="22" fillId="0" borderId="0" xfId="0" applyFont="1" applyAlignment="1">
      <alignment vertical="center"/>
    </xf>
    <xf numFmtId="170" fontId="25" fillId="0" borderId="0" xfId="0" applyNumberFormat="1" applyFont="1" applyAlignment="1">
      <alignment horizontal="center"/>
    </xf>
    <xf numFmtId="170" fontId="22" fillId="0" borderId="0" xfId="0" applyNumberFormat="1" applyFont="1" applyAlignment="1">
      <alignment horizontal="center"/>
    </xf>
    <xf numFmtId="173" fontId="23" fillId="0" borderId="0" xfId="1" applyNumberFormat="1" applyFont="1" applyFill="1"/>
    <xf numFmtId="173" fontId="23" fillId="0" borderId="0" xfId="1" applyNumberFormat="1" applyFont="1" applyFill="1" applyBorder="1"/>
    <xf numFmtId="173" fontId="25" fillId="0" borderId="0" xfId="1" applyNumberFormat="1" applyFont="1" applyFill="1" applyBorder="1"/>
    <xf numFmtId="173" fontId="25" fillId="0" borderId="0" xfId="1" applyNumberFormat="1" applyFont="1" applyFill="1"/>
    <xf numFmtId="173" fontId="23" fillId="0" borderId="0" xfId="0" applyNumberFormat="1" applyFont="1"/>
    <xf numFmtId="173" fontId="25" fillId="0" borderId="0" xfId="0" applyNumberFormat="1" applyFont="1"/>
    <xf numFmtId="164" fontId="31" fillId="0" borderId="0" xfId="1" quotePrefix="1" applyNumberFormat="1" applyFont="1" applyFill="1" applyBorder="1" applyAlignment="1">
      <alignment horizontal="right" vertical="center"/>
    </xf>
    <xf numFmtId="164" fontId="31" fillId="0" borderId="0" xfId="1" applyNumberFormat="1" applyFont="1" applyFill="1" applyBorder="1" applyAlignment="1">
      <alignment horizontal="right" vertical="center"/>
    </xf>
    <xf numFmtId="164" fontId="31" fillId="0" borderId="0" xfId="1" quotePrefix="1" applyNumberFormat="1" applyFont="1" applyFill="1" applyBorder="1" applyAlignment="1" applyProtection="1">
      <alignment horizontal="right" vertical="center" wrapText="1"/>
    </xf>
    <xf numFmtId="164" fontId="31" fillId="0" borderId="0" xfId="1" applyNumberFormat="1" applyFont="1" applyFill="1" applyBorder="1" applyAlignment="1">
      <alignment horizontal="right"/>
    </xf>
    <xf numFmtId="164" fontId="32" fillId="0" borderId="0" xfId="1" quotePrefix="1" applyNumberFormat="1" applyFont="1" applyFill="1" applyBorder="1" applyAlignment="1">
      <alignment horizontal="right" vertical="center"/>
    </xf>
    <xf numFmtId="164" fontId="31" fillId="8" borderId="0" xfId="1" quotePrefix="1" applyNumberFormat="1" applyFont="1" applyFill="1" applyBorder="1" applyAlignment="1">
      <alignment horizontal="right" vertical="center"/>
    </xf>
    <xf numFmtId="172" fontId="32" fillId="9" borderId="7" xfId="1" applyNumberFormat="1" applyFont="1" applyFill="1" applyBorder="1" applyAlignment="1">
      <alignment horizontal="right" vertical="center"/>
    </xf>
    <xf numFmtId="172" fontId="34" fillId="0" borderId="0" xfId="1" applyNumberFormat="1" applyFont="1" applyFill="1" applyBorder="1" applyAlignment="1">
      <alignment horizontal="right" vertical="center"/>
    </xf>
    <xf numFmtId="172" fontId="32" fillId="0" borderId="0" xfId="1" applyNumberFormat="1" applyFont="1" applyFill="1" applyBorder="1" applyAlignment="1">
      <alignment horizontal="right" vertical="center"/>
    </xf>
    <xf numFmtId="172" fontId="32" fillId="8" borderId="0" xfId="1" applyNumberFormat="1" applyFont="1" applyFill="1" applyBorder="1" applyAlignment="1">
      <alignment horizontal="right" vertical="center"/>
    </xf>
    <xf numFmtId="172" fontId="31" fillId="0" borderId="0" xfId="1" applyNumberFormat="1" applyFont="1" applyFill="1" applyBorder="1" applyAlignment="1">
      <alignment horizontal="right" vertical="center"/>
    </xf>
    <xf numFmtId="172" fontId="32" fillId="0" borderId="1" xfId="1" applyNumberFormat="1" applyFont="1" applyFill="1" applyBorder="1" applyAlignment="1">
      <alignment horizontal="right" vertical="center"/>
    </xf>
    <xf numFmtId="172" fontId="32" fillId="9" borderId="0" xfId="1" applyNumberFormat="1" applyFont="1" applyFill="1" applyBorder="1" applyAlignment="1">
      <alignment horizontal="right" vertical="center"/>
    </xf>
    <xf numFmtId="164" fontId="31" fillId="9" borderId="0" xfId="1" applyNumberFormat="1" applyFont="1" applyFill="1" applyBorder="1" applyAlignment="1">
      <alignment horizontal="right" vertical="center"/>
    </xf>
    <xf numFmtId="172" fontId="31" fillId="0" borderId="0" xfId="1" applyNumberFormat="1" applyFont="1" applyFill="1" applyBorder="1" applyAlignment="1">
      <alignment horizontal="right"/>
    </xf>
    <xf numFmtId="172" fontId="31" fillId="0" borderId="1" xfId="1" applyNumberFormat="1" applyFont="1" applyFill="1" applyBorder="1" applyAlignment="1">
      <alignment horizontal="right"/>
    </xf>
    <xf numFmtId="172" fontId="32" fillId="9" borderId="0" xfId="1" applyNumberFormat="1" applyFont="1" applyFill="1" applyBorder="1" applyAlignment="1">
      <alignment horizontal="right"/>
    </xf>
    <xf numFmtId="167" fontId="31" fillId="0" borderId="0" xfId="1" applyNumberFormat="1" applyFont="1" applyFill="1" applyBorder="1" applyAlignment="1">
      <alignment horizontal="right"/>
    </xf>
    <xf numFmtId="165" fontId="22" fillId="0" borderId="0" xfId="2" applyNumberFormat="1" applyFont="1" applyAlignment="1">
      <alignment horizontal="right"/>
    </xf>
    <xf numFmtId="165" fontId="22" fillId="0" borderId="0" xfId="2" applyNumberFormat="1" applyFont="1" applyBorder="1" applyAlignment="1">
      <alignment horizontal="right"/>
    </xf>
    <xf numFmtId="165" fontId="22" fillId="0" borderId="3" xfId="2" applyNumberFormat="1" applyFont="1" applyBorder="1" applyAlignment="1">
      <alignment horizontal="right"/>
    </xf>
    <xf numFmtId="165" fontId="25" fillId="3" borderId="0" xfId="2" applyNumberFormat="1" applyFont="1" applyFill="1" applyAlignment="1">
      <alignment horizontal="right"/>
    </xf>
    <xf numFmtId="165" fontId="25" fillId="3" borderId="0" xfId="2" applyNumberFormat="1" applyFont="1" applyFill="1" applyBorder="1" applyAlignment="1">
      <alignment horizontal="right"/>
    </xf>
    <xf numFmtId="165" fontId="25" fillId="0" borderId="6" xfId="2" applyNumberFormat="1" applyFont="1" applyBorder="1" applyAlignment="1">
      <alignment horizontal="right"/>
    </xf>
    <xf numFmtId="165" fontId="25" fillId="0" borderId="0" xfId="2" applyNumberFormat="1" applyFont="1" applyFill="1" applyAlignment="1">
      <alignment horizontal="right"/>
    </xf>
    <xf numFmtId="165" fontId="25" fillId="0" borderId="0" xfId="2" applyNumberFormat="1" applyFont="1" applyFill="1" applyBorder="1" applyAlignment="1">
      <alignment horizontal="right"/>
    </xf>
    <xf numFmtId="170" fontId="31" fillId="0" borderId="0" xfId="10" applyNumberFormat="1" applyFont="1"/>
    <xf numFmtId="165" fontId="25" fillId="0" borderId="3" xfId="2" applyNumberFormat="1" applyFont="1" applyFill="1" applyBorder="1"/>
    <xf numFmtId="43" fontId="25" fillId="0" borderId="0" xfId="0" applyNumberFormat="1" applyFont="1"/>
    <xf numFmtId="43" fontId="25" fillId="0" borderId="3" xfId="0" applyNumberFormat="1" applyFont="1" applyBorder="1"/>
    <xf numFmtId="164" fontId="32" fillId="0" borderId="0" xfId="1" applyNumberFormat="1" applyFont="1"/>
    <xf numFmtId="164" fontId="32" fillId="0" borderId="0" xfId="1" applyNumberFormat="1" applyFont="1" applyBorder="1"/>
    <xf numFmtId="164" fontId="31" fillId="0" borderId="0" xfId="1" applyNumberFormat="1" applyFont="1"/>
    <xf numFmtId="164" fontId="31" fillId="0" borderId="6" xfId="1" applyNumberFormat="1" applyFont="1" applyBorder="1"/>
    <xf numFmtId="164" fontId="31" fillId="0" borderId="7" xfId="1" applyNumberFormat="1" applyFont="1" applyBorder="1"/>
    <xf numFmtId="164" fontId="31" fillId="0" borderId="7" xfId="1" applyNumberFormat="1" applyFont="1" applyFill="1" applyBorder="1"/>
    <xf numFmtId="9" fontId="31" fillId="0" borderId="0" xfId="2" applyFont="1"/>
    <xf numFmtId="9" fontId="31" fillId="0" borderId="0" xfId="2" applyFont="1" applyBorder="1"/>
    <xf numFmtId="164" fontId="31" fillId="0" borderId="0" xfId="1" applyNumberFormat="1" applyFont="1" applyBorder="1"/>
    <xf numFmtId="166" fontId="32" fillId="0" borderId="0" xfId="1" applyNumberFormat="1" applyFont="1"/>
    <xf numFmtId="166" fontId="32" fillId="0" borderId="0" xfId="1" applyNumberFormat="1" applyFont="1" applyBorder="1"/>
    <xf numFmtId="164" fontId="31" fillId="8" borderId="0" xfId="1" applyNumberFormat="1" applyFont="1" applyFill="1" applyBorder="1"/>
    <xf numFmtId="43" fontId="31" fillId="0" borderId="0" xfId="1" applyFont="1"/>
    <xf numFmtId="43" fontId="31" fillId="0" borderId="0" xfId="1" applyFont="1" applyBorder="1"/>
    <xf numFmtId="43" fontId="31" fillId="0" borderId="0" xfId="1" applyFont="1" applyFill="1"/>
    <xf numFmtId="43" fontId="31" fillId="0" borderId="0" xfId="1" applyFont="1" applyFill="1" applyBorder="1"/>
    <xf numFmtId="166" fontId="31" fillId="0" borderId="0" xfId="1" applyNumberFormat="1" applyFont="1"/>
    <xf numFmtId="166" fontId="22" fillId="0" borderId="3" xfId="1" applyNumberFormat="1" applyFont="1" applyBorder="1"/>
    <xf numFmtId="165" fontId="22" fillId="0" borderId="0" xfId="2" applyNumberFormat="1" applyFont="1"/>
    <xf numFmtId="165" fontId="22" fillId="0" borderId="0" xfId="2" applyNumberFormat="1" applyFont="1" applyBorder="1"/>
    <xf numFmtId="165" fontId="22" fillId="0" borderId="3" xfId="2" applyNumberFormat="1" applyFont="1" applyBorder="1"/>
    <xf numFmtId="17" fontId="32" fillId="4" borderId="0" xfId="4" quotePrefix="1" applyNumberFormat="1" applyFont="1" applyFill="1" applyAlignment="1">
      <alignment horizontal="right" vertical="center"/>
    </xf>
    <xf numFmtId="17" fontId="22" fillId="4" borderId="0" xfId="4" quotePrefix="1" applyNumberFormat="1" applyFont="1" applyFill="1" applyAlignment="1">
      <alignment horizontal="right" vertical="center"/>
    </xf>
    <xf numFmtId="17" fontId="22" fillId="4" borderId="0" xfId="0" applyNumberFormat="1" applyFont="1" applyFill="1"/>
    <xf numFmtId="17" fontId="21" fillId="4" borderId="0" xfId="0" applyNumberFormat="1" applyFont="1" applyFill="1" applyAlignment="1">
      <alignment horizontal="right"/>
    </xf>
    <xf numFmtId="165" fontId="21" fillId="0" borderId="0" xfId="2" applyNumberFormat="1" applyFont="1" applyBorder="1" applyAlignment="1">
      <alignment horizontal="right"/>
    </xf>
    <xf numFmtId="0" fontId="25" fillId="0" borderId="0" xfId="3" applyNumberFormat="1" applyFont="1" applyAlignment="1">
      <alignment horizontal="left" indent="2"/>
    </xf>
    <xf numFmtId="165" fontId="25" fillId="0" borderId="0" xfId="2" quotePrefix="1" applyNumberFormat="1" applyFont="1" applyFill="1" applyBorder="1" applyAlignment="1">
      <alignment horizontal="right" vertical="center"/>
    </xf>
    <xf numFmtId="0" fontId="0" fillId="5" borderId="0" xfId="0" applyFill="1"/>
    <xf numFmtId="0" fontId="35" fillId="2" borderId="0" xfId="0" applyFont="1" applyFill="1" applyAlignment="1">
      <alignment horizontal="left"/>
    </xf>
    <xf numFmtId="0" fontId="35" fillId="2" borderId="0" xfId="0" applyFont="1" applyFill="1" applyAlignment="1">
      <alignment horizontal="center"/>
    </xf>
    <xf numFmtId="0" fontId="16" fillId="5" borderId="0" xfId="0" applyFont="1" applyFill="1"/>
    <xf numFmtId="0" fontId="15" fillId="9" borderId="0" xfId="0" applyFont="1" applyFill="1"/>
    <xf numFmtId="0" fontId="16" fillId="9" borderId="0" xfId="0" applyFont="1" applyFill="1"/>
    <xf numFmtId="176" fontId="8" fillId="5" borderId="0" xfId="0" applyNumberFormat="1" applyFont="1" applyFill="1" applyAlignment="1">
      <alignment horizontal="center"/>
    </xf>
    <xf numFmtId="176" fontId="16" fillId="5" borderId="0" xfId="0" applyNumberFormat="1" applyFont="1" applyFill="1"/>
    <xf numFmtId="0" fontId="14" fillId="5" borderId="0" xfId="0" applyFont="1" applyFill="1"/>
    <xf numFmtId="176" fontId="0" fillId="5" borderId="0" xfId="0" applyNumberFormat="1" applyFill="1"/>
    <xf numFmtId="0" fontId="14" fillId="5" borderId="9" xfId="0" applyFont="1" applyFill="1" applyBorder="1"/>
    <xf numFmtId="176" fontId="14" fillId="5" borderId="9" xfId="0" applyNumberFormat="1" applyFont="1" applyFill="1" applyBorder="1"/>
    <xf numFmtId="0" fontId="14" fillId="9" borderId="0" xfId="0" applyFont="1" applyFill="1"/>
    <xf numFmtId="176" fontId="0" fillId="9" borderId="0" xfId="0" applyNumberFormat="1" applyFill="1"/>
    <xf numFmtId="0" fontId="0" fillId="9" borderId="0" xfId="0" applyFill="1"/>
    <xf numFmtId="165" fontId="0" fillId="5" borderId="0" xfId="2" applyNumberFormat="1" applyFont="1" applyFill="1"/>
    <xf numFmtId="165" fontId="14" fillId="5" borderId="0" xfId="2" applyNumberFormat="1" applyFont="1" applyFill="1"/>
    <xf numFmtId="0" fontId="0" fillId="5" borderId="0" xfId="0" applyFill="1" applyAlignment="1">
      <alignment horizontal="left" indent="1"/>
    </xf>
    <xf numFmtId="176" fontId="14" fillId="5" borderId="0" xfId="0" applyNumberFormat="1" applyFont="1" applyFill="1"/>
    <xf numFmtId="165" fontId="36" fillId="0" borderId="0" xfId="1" applyNumberFormat="1" applyFont="1" applyFill="1" applyBorder="1" applyAlignment="1">
      <alignment horizontal="right" vertical="center"/>
    </xf>
    <xf numFmtId="0" fontId="38" fillId="5" borderId="0" xfId="0" applyFont="1" applyFill="1" applyAlignment="1">
      <alignment vertical="top"/>
    </xf>
    <xf numFmtId="0" fontId="39" fillId="0" borderId="0" xfId="3" applyNumberFormat="1" applyFont="1" applyAlignment="1">
      <alignment horizontal="left"/>
    </xf>
    <xf numFmtId="17" fontId="35" fillId="2" borderId="0" xfId="0" applyNumberFormat="1" applyFont="1" applyFill="1" applyAlignment="1">
      <alignment horizontal="left"/>
    </xf>
    <xf numFmtId="165" fontId="16" fillId="5" borderId="0" xfId="2" applyNumberFormat="1" applyFont="1" applyFill="1"/>
    <xf numFmtId="176" fontId="15" fillId="5" borderId="0" xfId="0" applyNumberFormat="1" applyFont="1" applyFill="1"/>
    <xf numFmtId="176" fontId="15" fillId="5" borderId="9" xfId="0" applyNumberFormat="1" applyFont="1" applyFill="1" applyBorder="1"/>
    <xf numFmtId="165" fontId="15" fillId="5" borderId="0" xfId="2" applyNumberFormat="1" applyFont="1" applyFill="1"/>
    <xf numFmtId="176" fontId="40" fillId="5" borderId="0" xfId="0" applyNumberFormat="1" applyFont="1" applyFill="1" applyAlignment="1">
      <alignment horizontal="center"/>
    </xf>
    <xf numFmtId="165" fontId="1" fillId="5" borderId="0" xfId="2" applyNumberFormat="1" applyFont="1" applyFill="1"/>
    <xf numFmtId="9" fontId="25" fillId="0" borderId="0" xfId="2" applyFont="1" applyAlignment="1">
      <alignment horizontal="right" indent="3"/>
    </xf>
    <xf numFmtId="164" fontId="0" fillId="0" borderId="0" xfId="0" applyNumberFormat="1"/>
    <xf numFmtId="172" fontId="21" fillId="0" borderId="9" xfId="1" applyNumberFormat="1" applyFont="1" applyFill="1" applyBorder="1" applyAlignment="1">
      <alignment horizontal="right"/>
    </xf>
    <xf numFmtId="172" fontId="22" fillId="0" borderId="9" xfId="1" applyNumberFormat="1" applyFont="1" applyFill="1" applyBorder="1" applyAlignment="1">
      <alignment horizontal="right"/>
    </xf>
    <xf numFmtId="175" fontId="22" fillId="0" borderId="9" xfId="1" applyNumberFormat="1" applyFont="1" applyFill="1" applyBorder="1" applyAlignment="1">
      <alignment horizontal="right"/>
    </xf>
    <xf numFmtId="172" fontId="32" fillId="0" borderId="9" xfId="1" applyNumberFormat="1" applyFont="1" applyFill="1" applyBorder="1" applyAlignment="1">
      <alignment horizontal="right"/>
    </xf>
    <xf numFmtId="175" fontId="25" fillId="0" borderId="0" xfId="1" applyNumberFormat="1" applyFont="1" applyFill="1" applyBorder="1" applyAlignment="1">
      <alignment horizontal="right"/>
    </xf>
    <xf numFmtId="172" fontId="25" fillId="0" borderId="0" xfId="0" applyNumberFormat="1" applyFont="1"/>
    <xf numFmtId="172" fontId="31" fillId="0" borderId="0" xfId="0" applyNumberFormat="1" applyFont="1"/>
    <xf numFmtId="172" fontId="39" fillId="0" borderId="0" xfId="1" applyNumberFormat="1" applyFont="1" applyFill="1" applyBorder="1" applyAlignment="1">
      <alignment horizontal="right"/>
    </xf>
    <xf numFmtId="172" fontId="39" fillId="6" borderId="0" xfId="1" applyNumberFormat="1" applyFont="1" applyFill="1" applyBorder="1" applyAlignment="1">
      <alignment horizontal="right"/>
    </xf>
    <xf numFmtId="172" fontId="39" fillId="0" borderId="0" xfId="0" applyNumberFormat="1" applyFont="1"/>
    <xf numFmtId="14" fontId="0" fillId="6" borderId="0" xfId="0" applyNumberFormat="1" applyFill="1"/>
    <xf numFmtId="0" fontId="0" fillId="5" borderId="9" xfId="0" applyFill="1" applyBorder="1"/>
    <xf numFmtId="165" fontId="14" fillId="5" borderId="9" xfId="0" applyNumberFormat="1" applyFont="1" applyFill="1" applyBorder="1"/>
    <xf numFmtId="0" fontId="14" fillId="0" borderId="0" xfId="0" applyFont="1"/>
    <xf numFmtId="165" fontId="15" fillId="5" borderId="9" xfId="2" applyNumberFormat="1" applyFont="1" applyFill="1" applyBorder="1"/>
    <xf numFmtId="0" fontId="37" fillId="5" borderId="0" xfId="0" applyFont="1" applyFill="1" applyAlignment="1">
      <alignment horizontal="left" vertical="top" wrapText="1"/>
    </xf>
    <xf numFmtId="176" fontId="15" fillId="5" borderId="0" xfId="0" applyNumberFormat="1" applyFont="1" applyFill="1" applyBorder="1"/>
    <xf numFmtId="0" fontId="0" fillId="5" borderId="0" xfId="0" applyFont="1" applyFill="1"/>
    <xf numFmtId="176" fontId="0" fillId="5" borderId="0" xfId="0" applyNumberFormat="1" applyFont="1" applyFill="1"/>
  </cellXfs>
  <cellStyles count="17">
    <cellStyle name="%" xfId="14" xr:uid="{00000000-0005-0000-0000-000000000000}"/>
    <cellStyle name="% 2 3" xfId="15" xr:uid="{00000000-0005-0000-0000-000001000000}"/>
    <cellStyle name="Comma" xfId="1" builtinId="3"/>
    <cellStyle name="Comma 10" xfId="8" xr:uid="{00000000-0005-0000-0000-000003000000}"/>
    <cellStyle name="Comma 2" xfId="9" xr:uid="{00000000-0005-0000-0000-000004000000}"/>
    <cellStyle name="Comma 3" xfId="6" xr:uid="{00000000-0005-0000-0000-000005000000}"/>
    <cellStyle name="Comma_IFRS_Segment_Consol_BAL_March 2009" xfId="10" xr:uid="{00000000-0005-0000-0000-000006000000}"/>
    <cellStyle name="Comma_IFRS_Segment_Consol_BAL_March 2009 2" xfId="7" xr:uid="{00000000-0005-0000-0000-000007000000}"/>
    <cellStyle name="Hyperlink" xfId="13" builtinId="8"/>
    <cellStyle name="Normal" xfId="0" builtinId="0"/>
    <cellStyle name="Normal 10" xfId="16" xr:uid="{00000000-0005-0000-0000-00000A000000}"/>
    <cellStyle name="Normal 2" xfId="5" xr:uid="{00000000-0005-0000-0000-00000B000000}"/>
    <cellStyle name="Normal 3" xfId="3" xr:uid="{00000000-0005-0000-0000-00000C000000}"/>
    <cellStyle name="Normal_Reconciliation" xfId="4" xr:uid="{00000000-0005-0000-0000-00000D000000}"/>
    <cellStyle name="Percent" xfId="2" builtinId="5"/>
    <cellStyle name="Style 1" xfId="12" xr:uid="{00000000-0005-0000-0000-00000F000000}"/>
    <cellStyle name="Style 1 3" xfId="11" xr:uid="{00000000-0005-0000-0000-000010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Charts!$AA$41</c:f>
              <c:strCache>
                <c:ptCount val="1"/>
                <c:pt idx="0">
                  <c:v>Mobile Service revenues (Growth % YoY)</c:v>
                </c:pt>
              </c:strCache>
            </c:strRef>
          </c:tx>
          <c:spPr>
            <a:ln w="25400" cap="rnd">
              <a:solidFill>
                <a:srgbClr val="333399"/>
              </a:solidFill>
              <a:prstDash val="solid"/>
              <a:round/>
            </a:ln>
            <a:effectLst/>
          </c:spPr>
          <c:marker>
            <c:symbol val="none"/>
          </c:marker>
          <c:cat>
            <c:strRef>
              <c:f>Charts!$AB$40:$AU$40</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Charts!$AB$41:$AU$41</c:f>
              <c:numCache>
                <c:formatCode>0.0%</c:formatCode>
                <c:ptCount val="20"/>
                <c:pt idx="0">
                  <c:v>-5.5091819699499167E-2</c:v>
                </c:pt>
                <c:pt idx="1">
                  <c:v>-5.8423142370958581E-2</c:v>
                </c:pt>
                <c:pt idx="2">
                  <c:v>-5.6401579244218847E-2</c:v>
                </c:pt>
                <c:pt idx="3">
                  <c:v>-6.1512415349887162E-2</c:v>
                </c:pt>
                <c:pt idx="4">
                  <c:v>-2.0023557126030656E-2</c:v>
                </c:pt>
                <c:pt idx="5">
                  <c:v>1.6265060240963747E-2</c:v>
                </c:pt>
                <c:pt idx="6">
                  <c:v>2.5104602510460206E-2</c:v>
                </c:pt>
                <c:pt idx="7">
                  <c:v>6.6145520144318404E-3</c:v>
                </c:pt>
                <c:pt idx="8">
                  <c:v>2.0432692307692291E-2</c:v>
                </c:pt>
                <c:pt idx="9">
                  <c:v>3.6158861885003057E-2</c:v>
                </c:pt>
                <c:pt idx="10">
                  <c:v>3.0903790087463578E-2</c:v>
                </c:pt>
                <c:pt idx="11">
                  <c:v>7.1087216248506557E-2</c:v>
                </c:pt>
                <c:pt idx="12">
                  <c:v>5.0647820965842083E-2</c:v>
                </c:pt>
                <c:pt idx="13">
                  <c:v>1.7734553775743622E-2</c:v>
                </c:pt>
                <c:pt idx="14">
                  <c:v>2.1493212669683182E-2</c:v>
                </c:pt>
                <c:pt idx="15">
                  <c:v>2.6770775237032973E-2</c:v>
                </c:pt>
                <c:pt idx="16">
                  <c:v>3.0829596412556004E-2</c:v>
                </c:pt>
                <c:pt idx="17">
                  <c:v>3.9347948285553658E-2</c:v>
                </c:pt>
                <c:pt idx="18">
                  <c:v>2.6024363233665637E-2</c:v>
                </c:pt>
                <c:pt idx="19">
                  <c:v>1.4122759369907589E-2</c:v>
                </c:pt>
              </c:numCache>
            </c:numRef>
          </c:val>
          <c:smooth val="0"/>
          <c:extLst>
            <c:ext xmlns:c16="http://schemas.microsoft.com/office/drawing/2014/chart" uri="{C3380CC4-5D6E-409C-BE32-E72D297353CC}">
              <c16:uniqueId val="{00000000-77A4-4DA0-A956-8D0DF9553588}"/>
            </c:ext>
          </c:extLst>
        </c:ser>
        <c:dLbls>
          <c:showLegendKey val="0"/>
          <c:showVal val="0"/>
          <c:showCatName val="0"/>
          <c:showSerName val="0"/>
          <c:showPercent val="0"/>
          <c:showBubbleSize val="0"/>
        </c:dLbls>
        <c:smooth val="0"/>
        <c:axId val="328608568"/>
        <c:axId val="328607392"/>
      </c:lineChart>
      <c:catAx>
        <c:axId val="3286085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Trebuchet MS"/>
                <a:ea typeface="Trebuchet MS"/>
                <a:cs typeface="Trebuchet MS"/>
              </a:defRPr>
            </a:pPr>
            <a:endParaRPr lang="en-US"/>
          </a:p>
        </c:txPr>
        <c:crossAx val="328607392"/>
        <c:crosses val="autoZero"/>
        <c:auto val="1"/>
        <c:lblAlgn val="ctr"/>
        <c:lblOffset val="100"/>
        <c:noMultiLvlLbl val="0"/>
      </c:catAx>
      <c:valAx>
        <c:axId val="328607392"/>
        <c:scaling>
          <c:orientation val="minMax"/>
        </c:scaling>
        <c:delete val="0"/>
        <c:axPos val="l"/>
        <c:majorGridlines>
          <c:spPr>
            <a:ln w="3175" cap="flat" cmpd="sng" algn="ctr">
              <a:solidFill>
                <a:srgbClr val="C0C0C0"/>
              </a:solidFill>
              <a:prstDash val="solid"/>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Trebuchet MS"/>
                <a:ea typeface="Trebuchet MS"/>
                <a:cs typeface="Trebuchet MS"/>
              </a:defRPr>
            </a:pPr>
            <a:endParaRPr lang="en-US"/>
          </a:p>
        </c:txPr>
        <c:crossAx val="328608568"/>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Charts!$AA$72</c:f>
              <c:strCache>
                <c:ptCount val="1"/>
                <c:pt idx="0">
                  <c:v>Prepaid Total minutes of use</c:v>
                </c:pt>
              </c:strCache>
            </c:strRef>
          </c:tx>
          <c:spPr>
            <a:solidFill>
              <a:srgbClr val="000080"/>
            </a:solidFill>
            <a:ln w="25400">
              <a:noFill/>
            </a:ln>
            <a:effectLst/>
          </c:spPr>
          <c:invertIfNegative val="0"/>
          <c:cat>
            <c:strRef>
              <c:f>Charts!$AB$71:$AU$71</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Charts!$AB$72:$AU$72</c:f>
              <c:numCache>
                <c:formatCode>#,##0_);\(#,##0\)</c:formatCode>
                <c:ptCount val="20"/>
                <c:pt idx="0">
                  <c:v>2657.34</c:v>
                </c:pt>
                <c:pt idx="1">
                  <c:v>2739.24</c:v>
                </c:pt>
                <c:pt idx="2">
                  <c:v>2695.86</c:v>
                </c:pt>
                <c:pt idx="3">
                  <c:v>2581.1999999999998</c:v>
                </c:pt>
                <c:pt idx="4">
                  <c:v>2620.44</c:v>
                </c:pt>
                <c:pt idx="5">
                  <c:v>2650.5</c:v>
                </c:pt>
                <c:pt idx="6">
                  <c:v>2644.92</c:v>
                </c:pt>
                <c:pt idx="7">
                  <c:v>2644.74</c:v>
                </c:pt>
                <c:pt idx="8">
                  <c:v>2601.1799999999998</c:v>
                </c:pt>
                <c:pt idx="9">
                  <c:v>2563.38</c:v>
                </c:pt>
                <c:pt idx="10">
                  <c:v>2580.66</c:v>
                </c:pt>
                <c:pt idx="11">
                  <c:v>2580.3000000000002</c:v>
                </c:pt>
                <c:pt idx="12">
                  <c:v>2569.14</c:v>
                </c:pt>
                <c:pt idx="13">
                  <c:v>2548.44</c:v>
                </c:pt>
                <c:pt idx="14">
                  <c:v>2559.06</c:v>
                </c:pt>
                <c:pt idx="15">
                  <c:v>2659.32</c:v>
                </c:pt>
                <c:pt idx="16">
                  <c:v>2697.48</c:v>
                </c:pt>
                <c:pt idx="17">
                  <c:v>2680.92</c:v>
                </c:pt>
                <c:pt idx="18">
                  <c:v>2698.38</c:v>
                </c:pt>
                <c:pt idx="19">
                  <c:v>2687.76</c:v>
                </c:pt>
              </c:numCache>
            </c:numRef>
          </c:val>
          <c:extLst>
            <c:ext xmlns:c16="http://schemas.microsoft.com/office/drawing/2014/chart" uri="{C3380CC4-5D6E-409C-BE32-E72D297353CC}">
              <c16:uniqueId val="{00000000-C9D7-46C2-9479-B0B3815DC1DA}"/>
            </c:ext>
          </c:extLst>
        </c:ser>
        <c:dLbls>
          <c:showLegendKey val="0"/>
          <c:showVal val="0"/>
          <c:showCatName val="0"/>
          <c:showSerName val="0"/>
          <c:showPercent val="0"/>
          <c:showBubbleSize val="0"/>
        </c:dLbls>
        <c:gapWidth val="219"/>
        <c:overlap val="-27"/>
        <c:axId val="330661176"/>
        <c:axId val="330662352"/>
      </c:barChart>
      <c:catAx>
        <c:axId val="330661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330662352"/>
        <c:crosses val="autoZero"/>
        <c:auto val="1"/>
        <c:lblAlgn val="ctr"/>
        <c:lblOffset val="100"/>
        <c:noMultiLvlLbl val="0"/>
      </c:catAx>
      <c:valAx>
        <c:axId val="330662352"/>
        <c:scaling>
          <c:orientation val="minMax"/>
        </c:scaling>
        <c:delete val="0"/>
        <c:axPos val="l"/>
        <c:majorGridlines>
          <c:spPr>
            <a:ln w="3175" cap="flat" cmpd="sng" algn="ctr">
              <a:solidFill>
                <a:srgbClr val="C0C0C0"/>
              </a:solidFill>
              <a:prstDash val="solid"/>
              <a:round/>
            </a:ln>
            <a:effectLst/>
          </c:spPr>
        </c:majorGridlines>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330661176"/>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Charts!$AA$78</c:f>
              <c:strCache>
                <c:ptCount val="1"/>
                <c:pt idx="0">
                  <c:v>Total Prepaid Minutes of Use growth (YoY)</c:v>
                </c:pt>
              </c:strCache>
            </c:strRef>
          </c:tx>
          <c:spPr>
            <a:ln w="25400" cap="rnd">
              <a:solidFill>
                <a:srgbClr val="333399"/>
              </a:solidFill>
              <a:prstDash val="solid"/>
              <a:round/>
            </a:ln>
            <a:effectLst/>
          </c:spPr>
          <c:marker>
            <c:symbol val="none"/>
          </c:marker>
          <c:cat>
            <c:strRef>
              <c:f>Charts!$AB$77:$AU$77</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Charts!$AB$78:$AU$78</c:f>
              <c:numCache>
                <c:formatCode>0.0%</c:formatCode>
                <c:ptCount val="20"/>
                <c:pt idx="0">
                  <c:v>-1.6783216783216703E-2</c:v>
                </c:pt>
                <c:pt idx="1">
                  <c:v>2.0862681961494545E-2</c:v>
                </c:pt>
                <c:pt idx="2">
                  <c:v>3.5513267220583788E-3</c:v>
                </c:pt>
                <c:pt idx="3">
                  <c:v>-3.3432191965489411E-2</c:v>
                </c:pt>
                <c:pt idx="4">
                  <c:v>-1.3886066517645457E-2</c:v>
                </c:pt>
                <c:pt idx="5">
                  <c:v>-3.2395847023261815E-2</c:v>
                </c:pt>
                <c:pt idx="6">
                  <c:v>-1.8895639981304724E-2</c:v>
                </c:pt>
                <c:pt idx="7">
                  <c:v>2.4616457461645647E-2</c:v>
                </c:pt>
                <c:pt idx="8">
                  <c:v>-7.3499107020196242E-3</c:v>
                </c:pt>
                <c:pt idx="9">
                  <c:v>-3.2869269949066138E-2</c:v>
                </c:pt>
                <c:pt idx="10">
                  <c:v>-2.4295630869742846E-2</c:v>
                </c:pt>
                <c:pt idx="11">
                  <c:v>-2.4365344041380133E-2</c:v>
                </c:pt>
                <c:pt idx="12">
                  <c:v>-1.231748667912258E-2</c:v>
                </c:pt>
                <c:pt idx="13">
                  <c:v>-5.828242398707939E-3</c:v>
                </c:pt>
                <c:pt idx="14">
                  <c:v>-8.3699518727766709E-3</c:v>
                </c:pt>
                <c:pt idx="15">
                  <c:v>3.062434600627828E-2</c:v>
                </c:pt>
                <c:pt idx="16">
                  <c:v>4.9954459468927404E-2</c:v>
                </c:pt>
                <c:pt idx="17">
                  <c:v>5.1984743607854211E-2</c:v>
                </c:pt>
                <c:pt idx="18">
                  <c:v>5.4441865372441445E-2</c:v>
                </c:pt>
                <c:pt idx="19">
                  <c:v>1.0694463246243346E-2</c:v>
                </c:pt>
              </c:numCache>
            </c:numRef>
          </c:val>
          <c:smooth val="0"/>
          <c:extLst>
            <c:ext xmlns:c16="http://schemas.microsoft.com/office/drawing/2014/chart" uri="{C3380CC4-5D6E-409C-BE32-E72D297353CC}">
              <c16:uniqueId val="{00000000-E729-4770-A97E-550297ACB477}"/>
            </c:ext>
          </c:extLst>
        </c:ser>
        <c:dLbls>
          <c:showLegendKey val="0"/>
          <c:showVal val="0"/>
          <c:showCatName val="0"/>
          <c:showSerName val="0"/>
          <c:showPercent val="0"/>
          <c:showBubbleSize val="0"/>
        </c:dLbls>
        <c:smooth val="0"/>
        <c:axId val="330664704"/>
        <c:axId val="330665488"/>
      </c:lineChart>
      <c:catAx>
        <c:axId val="33066470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330665488"/>
        <c:crosses val="autoZero"/>
        <c:auto val="1"/>
        <c:lblAlgn val="ctr"/>
        <c:lblOffset val="100"/>
        <c:noMultiLvlLbl val="0"/>
      </c:catAx>
      <c:valAx>
        <c:axId val="330665488"/>
        <c:scaling>
          <c:orientation val="minMax"/>
        </c:scaling>
        <c:delete val="0"/>
        <c:axPos val="l"/>
        <c:majorGridlines>
          <c:spPr>
            <a:ln w="3175" cap="flat" cmpd="sng" algn="ctr">
              <a:solidFill>
                <a:srgbClr val="C0C0C0"/>
              </a:solidFill>
              <a:prstDash val="solid"/>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330664704"/>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Charts!$AA$90</c:f>
              <c:strCache>
                <c:ptCount val="1"/>
                <c:pt idx="0">
                  <c:v>Mobile subscribers (incl. M2M, market definition)</c:v>
                </c:pt>
              </c:strCache>
            </c:strRef>
          </c:tx>
          <c:spPr>
            <a:solidFill>
              <a:srgbClr val="000080"/>
            </a:solidFill>
            <a:ln w="25400">
              <a:noFill/>
            </a:ln>
            <a:effectLst/>
          </c:spPr>
          <c:invertIfNegative val="0"/>
          <c:cat>
            <c:strRef>
              <c:f>Charts!$AB$89:$AU$89</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Charts!$AB$90:$AU$90</c:f>
              <c:numCache>
                <c:formatCode>#,##0_);\(#,##0\)</c:formatCode>
                <c:ptCount val="20"/>
                <c:pt idx="0">
                  <c:v>11320</c:v>
                </c:pt>
                <c:pt idx="1">
                  <c:v>11734</c:v>
                </c:pt>
                <c:pt idx="2">
                  <c:v>11116</c:v>
                </c:pt>
                <c:pt idx="3">
                  <c:v>11261</c:v>
                </c:pt>
                <c:pt idx="4">
                  <c:v>11516</c:v>
                </c:pt>
                <c:pt idx="5">
                  <c:v>11671</c:v>
                </c:pt>
                <c:pt idx="6">
                  <c:v>11651</c:v>
                </c:pt>
                <c:pt idx="7">
                  <c:v>11842</c:v>
                </c:pt>
                <c:pt idx="8">
                  <c:v>11640</c:v>
                </c:pt>
                <c:pt idx="9">
                  <c:v>11767</c:v>
                </c:pt>
                <c:pt idx="10">
                  <c:v>11877</c:v>
                </c:pt>
                <c:pt idx="11">
                  <c:v>11879</c:v>
                </c:pt>
                <c:pt idx="12">
                  <c:v>11920</c:v>
                </c:pt>
                <c:pt idx="13">
                  <c:v>11879</c:v>
                </c:pt>
                <c:pt idx="14">
                  <c:v>12135</c:v>
                </c:pt>
                <c:pt idx="15">
                  <c:v>12636</c:v>
                </c:pt>
                <c:pt idx="16">
                  <c:v>12558</c:v>
                </c:pt>
                <c:pt idx="17">
                  <c:v>12753</c:v>
                </c:pt>
                <c:pt idx="18">
                  <c:v>12862</c:v>
                </c:pt>
                <c:pt idx="19">
                  <c:v>12947</c:v>
                </c:pt>
              </c:numCache>
            </c:numRef>
          </c:val>
          <c:extLst>
            <c:ext xmlns:c16="http://schemas.microsoft.com/office/drawing/2014/chart" uri="{C3380CC4-5D6E-409C-BE32-E72D297353CC}">
              <c16:uniqueId val="{00000000-F931-47FC-A3B2-9114EB964284}"/>
            </c:ext>
          </c:extLst>
        </c:ser>
        <c:dLbls>
          <c:showLegendKey val="0"/>
          <c:showVal val="0"/>
          <c:showCatName val="0"/>
          <c:showSerName val="0"/>
          <c:showPercent val="0"/>
          <c:showBubbleSize val="0"/>
        </c:dLbls>
        <c:gapWidth val="219"/>
        <c:overlap val="-27"/>
        <c:axId val="330667448"/>
        <c:axId val="330660784"/>
      </c:barChart>
      <c:catAx>
        <c:axId val="330667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330660784"/>
        <c:crosses val="autoZero"/>
        <c:auto val="1"/>
        <c:lblAlgn val="ctr"/>
        <c:lblOffset val="100"/>
        <c:noMultiLvlLbl val="0"/>
      </c:catAx>
      <c:valAx>
        <c:axId val="330660784"/>
        <c:scaling>
          <c:orientation val="minMax"/>
        </c:scaling>
        <c:delete val="0"/>
        <c:axPos val="l"/>
        <c:majorGridlines>
          <c:spPr>
            <a:ln w="3175" cap="flat" cmpd="sng" algn="ctr">
              <a:solidFill>
                <a:srgbClr val="C0C0C0"/>
              </a:solidFill>
              <a:prstDash val="solid"/>
              <a:round/>
            </a:ln>
            <a:effectLst/>
          </c:spPr>
        </c:majorGridlines>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330667448"/>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Charts!$AA$97</c:f>
              <c:strCache>
                <c:ptCount val="1"/>
                <c:pt idx="0">
                  <c:v>Net subscriber Additions</c:v>
                </c:pt>
              </c:strCache>
            </c:strRef>
          </c:tx>
          <c:spPr>
            <a:solidFill>
              <a:srgbClr val="000080"/>
            </a:solidFill>
            <a:ln w="25400">
              <a:noFill/>
            </a:ln>
            <a:effectLst/>
          </c:spPr>
          <c:invertIfNegative val="0"/>
          <c:cat>
            <c:strRef>
              <c:f>Charts!$AB$96:$AU$96</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Charts!$AB$97:$AU$97</c:f>
              <c:numCache>
                <c:formatCode>#,##0_);\(#,##0\)</c:formatCode>
                <c:ptCount val="20"/>
                <c:pt idx="0">
                  <c:v>86</c:v>
                </c:pt>
                <c:pt idx="1">
                  <c:v>414</c:v>
                </c:pt>
                <c:pt idx="2">
                  <c:v>-618</c:v>
                </c:pt>
                <c:pt idx="3">
                  <c:v>145</c:v>
                </c:pt>
                <c:pt idx="4">
                  <c:v>255</c:v>
                </c:pt>
                <c:pt idx="5">
                  <c:v>155</c:v>
                </c:pt>
                <c:pt idx="6">
                  <c:v>-20</c:v>
                </c:pt>
                <c:pt idx="7">
                  <c:v>191</c:v>
                </c:pt>
                <c:pt idx="8">
                  <c:v>-202</c:v>
                </c:pt>
                <c:pt idx="9">
                  <c:v>127</c:v>
                </c:pt>
                <c:pt idx="10">
                  <c:v>110</c:v>
                </c:pt>
                <c:pt idx="11">
                  <c:v>2</c:v>
                </c:pt>
                <c:pt idx="12">
                  <c:v>41</c:v>
                </c:pt>
                <c:pt idx="13">
                  <c:v>-41</c:v>
                </c:pt>
                <c:pt idx="14">
                  <c:v>256</c:v>
                </c:pt>
                <c:pt idx="15">
                  <c:v>501</c:v>
                </c:pt>
                <c:pt idx="16">
                  <c:v>-78</c:v>
                </c:pt>
                <c:pt idx="17">
                  <c:v>195</c:v>
                </c:pt>
                <c:pt idx="18">
                  <c:v>109</c:v>
                </c:pt>
                <c:pt idx="19">
                  <c:v>85</c:v>
                </c:pt>
              </c:numCache>
            </c:numRef>
          </c:val>
          <c:extLst>
            <c:ext xmlns:c16="http://schemas.microsoft.com/office/drawing/2014/chart" uri="{C3380CC4-5D6E-409C-BE32-E72D297353CC}">
              <c16:uniqueId val="{00000000-A0B3-4580-8152-78CB384AAEEB}"/>
            </c:ext>
          </c:extLst>
        </c:ser>
        <c:dLbls>
          <c:showLegendKey val="0"/>
          <c:showVal val="0"/>
          <c:showCatName val="0"/>
          <c:showSerName val="0"/>
          <c:showPercent val="0"/>
          <c:showBubbleSize val="0"/>
        </c:dLbls>
        <c:gapWidth val="219"/>
        <c:overlap val="-27"/>
        <c:axId val="330666664"/>
        <c:axId val="330667056"/>
      </c:barChart>
      <c:catAx>
        <c:axId val="33066666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330667056"/>
        <c:crosses val="autoZero"/>
        <c:auto val="1"/>
        <c:lblAlgn val="ctr"/>
        <c:lblOffset val="100"/>
        <c:noMultiLvlLbl val="0"/>
      </c:catAx>
      <c:valAx>
        <c:axId val="330667056"/>
        <c:scaling>
          <c:orientation val="minMax"/>
        </c:scaling>
        <c:delete val="0"/>
        <c:axPos val="l"/>
        <c:majorGridlines>
          <c:spPr>
            <a:ln w="3175" cap="flat" cmpd="sng" algn="ctr">
              <a:solidFill>
                <a:srgbClr val="C0C0C0"/>
              </a:solidFill>
              <a:prstDash val="solid"/>
              <a:round/>
            </a:ln>
            <a:effectLst/>
          </c:spPr>
        </c:majorGridlines>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330666664"/>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Charts!$AA$110</c:f>
              <c:strCache>
                <c:ptCount val="1"/>
                <c:pt idx="0">
                  <c:v>Data traffic</c:v>
                </c:pt>
              </c:strCache>
            </c:strRef>
          </c:tx>
          <c:spPr>
            <a:solidFill>
              <a:srgbClr val="000080"/>
            </a:solidFill>
            <a:ln w="25400">
              <a:noFill/>
            </a:ln>
            <a:effectLst/>
          </c:spPr>
          <c:invertIfNegative val="0"/>
          <c:cat>
            <c:strRef>
              <c:f>Charts!$AB$109:$AU$109</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Charts!$AB$110:$AU$110</c:f>
              <c:numCache>
                <c:formatCode>#,##0_);\(#,##0\)</c:formatCode>
                <c:ptCount val="20"/>
                <c:pt idx="0">
                  <c:v>568.69911000000002</c:v>
                </c:pt>
                <c:pt idx="1">
                  <c:v>728.62166999999999</c:v>
                </c:pt>
                <c:pt idx="2">
                  <c:v>668.01974999999993</c:v>
                </c:pt>
                <c:pt idx="3">
                  <c:v>696.48412499999995</c:v>
                </c:pt>
                <c:pt idx="4">
                  <c:v>737.29148999999995</c:v>
                </c:pt>
                <c:pt idx="5">
                  <c:v>848.64419999999996</c:v>
                </c:pt>
                <c:pt idx="6">
                  <c:v>873.52551000000005</c:v>
                </c:pt>
                <c:pt idx="7">
                  <c:v>859.84379999999987</c:v>
                </c:pt>
                <c:pt idx="8">
                  <c:v>852.39660000000015</c:v>
                </c:pt>
                <c:pt idx="9">
                  <c:v>874.25144999999998</c:v>
                </c:pt>
                <c:pt idx="10">
                  <c:v>932.75580000000002</c:v>
                </c:pt>
                <c:pt idx="11">
                  <c:v>947.86439999999993</c:v>
                </c:pt>
                <c:pt idx="12">
                  <c:v>899.60219999999993</c:v>
                </c:pt>
                <c:pt idx="13">
                  <c:v>931.73085000000015</c:v>
                </c:pt>
                <c:pt idx="14">
                  <c:v>968.96489999999994</c:v>
                </c:pt>
                <c:pt idx="15">
                  <c:v>1032.9507000000001</c:v>
                </c:pt>
                <c:pt idx="16">
                  <c:v>1114.8344999999999</c:v>
                </c:pt>
                <c:pt idx="17">
                  <c:v>1127.6050499999999</c:v>
                </c:pt>
                <c:pt idx="18">
                  <c:v>1156.5172500000001</c:v>
                </c:pt>
                <c:pt idx="19">
                  <c:v>1211.7325499999999</c:v>
                </c:pt>
              </c:numCache>
            </c:numRef>
          </c:val>
          <c:extLst>
            <c:ext xmlns:c16="http://schemas.microsoft.com/office/drawing/2014/chart" uri="{C3380CC4-5D6E-409C-BE32-E72D297353CC}">
              <c16:uniqueId val="{00000000-40D1-44FC-9476-7C38498D43FD}"/>
            </c:ext>
          </c:extLst>
        </c:ser>
        <c:dLbls>
          <c:showLegendKey val="0"/>
          <c:showVal val="0"/>
          <c:showCatName val="0"/>
          <c:showSerName val="0"/>
          <c:showPercent val="0"/>
          <c:showBubbleSize val="0"/>
        </c:dLbls>
        <c:gapWidth val="219"/>
        <c:overlap val="-27"/>
        <c:axId val="323944024"/>
        <c:axId val="323940888"/>
      </c:barChart>
      <c:catAx>
        <c:axId val="3239440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323940888"/>
        <c:crosses val="autoZero"/>
        <c:auto val="1"/>
        <c:lblAlgn val="ctr"/>
        <c:lblOffset val="100"/>
        <c:noMultiLvlLbl val="0"/>
      </c:catAx>
      <c:valAx>
        <c:axId val="323940888"/>
        <c:scaling>
          <c:orientation val="minMax"/>
        </c:scaling>
        <c:delete val="0"/>
        <c:axPos val="l"/>
        <c:majorGridlines>
          <c:spPr>
            <a:ln w="3175" cap="flat" cmpd="sng" algn="ctr">
              <a:solidFill>
                <a:srgbClr val="C0C0C0"/>
              </a:solidFill>
              <a:prstDash val="solid"/>
              <a:round/>
            </a:ln>
            <a:effectLst/>
          </c:spPr>
        </c:majorGridlines>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323944024"/>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Charts!$AA$116</c:f>
              <c:strCache>
                <c:ptCount val="1"/>
                <c:pt idx="0">
                  <c:v>Estimated mobile data traffic growth (YoY)</c:v>
                </c:pt>
              </c:strCache>
            </c:strRef>
          </c:tx>
          <c:spPr>
            <a:ln w="25400" cap="rnd">
              <a:solidFill>
                <a:srgbClr val="333399"/>
              </a:solidFill>
              <a:prstDash val="solid"/>
              <a:round/>
            </a:ln>
            <a:effectLst/>
          </c:spPr>
          <c:marker>
            <c:symbol val="none"/>
          </c:marker>
          <c:cat>
            <c:strRef>
              <c:f>Charts!$AB$115:$AU$115</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Charts!$AB$116:$AU$116</c:f>
              <c:numCache>
                <c:formatCode>0.0%</c:formatCode>
                <c:ptCount val="20"/>
                <c:pt idx="0">
                  <c:v>0.48815190320586432</c:v>
                </c:pt>
                <c:pt idx="1">
                  <c:v>0.62247631132007308</c:v>
                </c:pt>
                <c:pt idx="2">
                  <c:v>0.32511246361156343</c:v>
                </c:pt>
                <c:pt idx="3">
                  <c:v>0.38363784042326809</c:v>
                </c:pt>
                <c:pt idx="4">
                  <c:v>0.29645268831175042</c:v>
                </c:pt>
                <c:pt idx="5">
                  <c:v>0.16472544660934929</c:v>
                </c:pt>
                <c:pt idx="6">
                  <c:v>0.30763425781947329</c:v>
                </c:pt>
                <c:pt idx="7">
                  <c:v>0.23454902866594396</c:v>
                </c:pt>
                <c:pt idx="8">
                  <c:v>0.15611886419576093</c:v>
                </c:pt>
                <c:pt idx="9">
                  <c:v>3.0174306264038497E-2</c:v>
                </c:pt>
                <c:pt idx="10">
                  <c:v>6.7806022058817694E-2</c:v>
                </c:pt>
                <c:pt idx="11">
                  <c:v>0.10236812779251303</c:v>
                </c:pt>
                <c:pt idx="12">
                  <c:v>5.5379854870373446E-2</c:v>
                </c:pt>
                <c:pt idx="13">
                  <c:v>6.5746988466533374E-2</c:v>
                </c:pt>
                <c:pt idx="14">
                  <c:v>3.8819485228609674E-2</c:v>
                </c:pt>
                <c:pt idx="15">
                  <c:v>8.9766321005409822E-2</c:v>
                </c:pt>
                <c:pt idx="16">
                  <c:v>0.23925274971537425</c:v>
                </c:pt>
                <c:pt idx="17">
                  <c:v>0.21022616134262351</c:v>
                </c:pt>
                <c:pt idx="18">
                  <c:v>0.19355948806814371</c:v>
                </c:pt>
                <c:pt idx="19">
                  <c:v>0.17307878294675616</c:v>
                </c:pt>
              </c:numCache>
            </c:numRef>
          </c:val>
          <c:smooth val="0"/>
          <c:extLst>
            <c:ext xmlns:c16="http://schemas.microsoft.com/office/drawing/2014/chart" uri="{C3380CC4-5D6E-409C-BE32-E72D297353CC}">
              <c16:uniqueId val="{00000000-6D6B-4875-8BF2-8F6DB70EAA46}"/>
            </c:ext>
          </c:extLst>
        </c:ser>
        <c:dLbls>
          <c:showLegendKey val="0"/>
          <c:showVal val="0"/>
          <c:showCatName val="0"/>
          <c:showSerName val="0"/>
          <c:showPercent val="0"/>
          <c:showBubbleSize val="0"/>
        </c:dLbls>
        <c:smooth val="0"/>
        <c:axId val="323947944"/>
        <c:axId val="624404800"/>
      </c:lineChart>
      <c:catAx>
        <c:axId val="32394794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24404800"/>
        <c:crosses val="autoZero"/>
        <c:auto val="1"/>
        <c:lblAlgn val="ctr"/>
        <c:lblOffset val="100"/>
        <c:noMultiLvlLbl val="0"/>
      </c:catAx>
      <c:valAx>
        <c:axId val="624404800"/>
        <c:scaling>
          <c:orientation val="minMax"/>
        </c:scaling>
        <c:delete val="0"/>
        <c:axPos val="l"/>
        <c:majorGridlines>
          <c:spPr>
            <a:ln w="3175" cap="flat" cmpd="sng" algn="ctr">
              <a:solidFill>
                <a:srgbClr val="C0C0C0"/>
              </a:solidFill>
              <a:prstDash val="solid"/>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323947944"/>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Charts!$AA$128</c:f>
              <c:strCache>
                <c:ptCount val="1"/>
                <c:pt idx="0">
                  <c:v>Usage per Sub</c:v>
                </c:pt>
              </c:strCache>
            </c:strRef>
          </c:tx>
          <c:spPr>
            <a:solidFill>
              <a:srgbClr val="000080"/>
            </a:solidFill>
            <a:ln w="25400">
              <a:noFill/>
            </a:ln>
            <a:effectLst/>
          </c:spPr>
          <c:invertIfNegative val="0"/>
          <c:cat>
            <c:strRef>
              <c:f>Charts!$AB$127:$AU$127</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Charts!$AB$128:$AU$128</c:f>
              <c:numCache>
                <c:formatCode>#,##0_);\(#,##0\)</c:formatCode>
                <c:ptCount val="20"/>
                <c:pt idx="0">
                  <c:v>16.809999999999999</c:v>
                </c:pt>
                <c:pt idx="1">
                  <c:v>21.07</c:v>
                </c:pt>
                <c:pt idx="2">
                  <c:v>19.489999999999998</c:v>
                </c:pt>
                <c:pt idx="3">
                  <c:v>20.75</c:v>
                </c:pt>
                <c:pt idx="4">
                  <c:v>21.58</c:v>
                </c:pt>
                <c:pt idx="5">
                  <c:v>24.4</c:v>
                </c:pt>
                <c:pt idx="6">
                  <c:v>24.97</c:v>
                </c:pt>
                <c:pt idx="7">
                  <c:v>24.4</c:v>
                </c:pt>
                <c:pt idx="8">
                  <c:v>24.2</c:v>
                </c:pt>
                <c:pt idx="9">
                  <c:v>24.9</c:v>
                </c:pt>
                <c:pt idx="10">
                  <c:v>26.3</c:v>
                </c:pt>
                <c:pt idx="11">
                  <c:v>26.6</c:v>
                </c:pt>
                <c:pt idx="12">
                  <c:v>25.2</c:v>
                </c:pt>
                <c:pt idx="13">
                  <c:v>26.1</c:v>
                </c:pt>
                <c:pt idx="14">
                  <c:v>26.9</c:v>
                </c:pt>
                <c:pt idx="15">
                  <c:v>27.8</c:v>
                </c:pt>
                <c:pt idx="16">
                  <c:v>29.5</c:v>
                </c:pt>
                <c:pt idx="17">
                  <c:v>29.7</c:v>
                </c:pt>
                <c:pt idx="18">
                  <c:v>30.1</c:v>
                </c:pt>
                <c:pt idx="19">
                  <c:v>31.3</c:v>
                </c:pt>
              </c:numCache>
            </c:numRef>
          </c:val>
          <c:extLst>
            <c:ext xmlns:c16="http://schemas.microsoft.com/office/drawing/2014/chart" uri="{C3380CC4-5D6E-409C-BE32-E72D297353CC}">
              <c16:uniqueId val="{00000000-5121-402C-BF96-71C60737A8EF}"/>
            </c:ext>
          </c:extLst>
        </c:ser>
        <c:ser>
          <c:idx val="1"/>
          <c:order val="1"/>
          <c:tx>
            <c:strRef>
              <c:f>Charts!$AA$129</c:f>
              <c:strCache>
                <c:ptCount val="1"/>
                <c:pt idx="0">
                  <c:v>Prepaid</c:v>
                </c:pt>
              </c:strCache>
            </c:strRef>
          </c:tx>
          <c:spPr>
            <a:solidFill>
              <a:srgbClr val="9999FF"/>
            </a:solidFill>
            <a:ln w="25400">
              <a:noFill/>
            </a:ln>
            <a:effectLst/>
          </c:spPr>
          <c:invertIfNegative val="0"/>
          <c:cat>
            <c:strRef>
              <c:f>Charts!$AB$127:$AU$127</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Charts!$AB$129:$AU$129</c:f>
              <c:numCache>
                <c:formatCode>#,##0_);\(#,##0\)</c:formatCode>
                <c:ptCount val="20"/>
                <c:pt idx="0">
                  <c:v>16.89</c:v>
                </c:pt>
                <c:pt idx="1">
                  <c:v>22.53</c:v>
                </c:pt>
                <c:pt idx="2">
                  <c:v>19.07</c:v>
                </c:pt>
                <c:pt idx="3">
                  <c:v>19.29</c:v>
                </c:pt>
                <c:pt idx="4">
                  <c:v>20.89</c:v>
                </c:pt>
                <c:pt idx="5">
                  <c:v>23.72</c:v>
                </c:pt>
                <c:pt idx="6">
                  <c:v>23.21</c:v>
                </c:pt>
                <c:pt idx="7">
                  <c:v>22.6</c:v>
                </c:pt>
                <c:pt idx="8">
                  <c:v>22.3</c:v>
                </c:pt>
                <c:pt idx="9">
                  <c:v>23.2</c:v>
                </c:pt>
                <c:pt idx="10">
                  <c:v>24.6</c:v>
                </c:pt>
                <c:pt idx="11">
                  <c:v>24.9</c:v>
                </c:pt>
                <c:pt idx="12">
                  <c:v>23.7</c:v>
                </c:pt>
                <c:pt idx="13">
                  <c:v>24.7</c:v>
                </c:pt>
                <c:pt idx="14">
                  <c:v>25.2</c:v>
                </c:pt>
                <c:pt idx="15">
                  <c:v>26.2</c:v>
                </c:pt>
                <c:pt idx="16">
                  <c:v>27.9</c:v>
                </c:pt>
                <c:pt idx="17">
                  <c:v>27.9</c:v>
                </c:pt>
                <c:pt idx="18">
                  <c:v>28.2</c:v>
                </c:pt>
                <c:pt idx="19">
                  <c:v>29.5</c:v>
                </c:pt>
              </c:numCache>
            </c:numRef>
          </c:val>
          <c:extLst>
            <c:ext xmlns:c16="http://schemas.microsoft.com/office/drawing/2014/chart" uri="{C3380CC4-5D6E-409C-BE32-E72D297353CC}">
              <c16:uniqueId val="{00000001-5121-402C-BF96-71C60737A8EF}"/>
            </c:ext>
          </c:extLst>
        </c:ser>
        <c:ser>
          <c:idx val="2"/>
          <c:order val="2"/>
          <c:tx>
            <c:strRef>
              <c:f>Charts!$AA$130</c:f>
              <c:strCache>
                <c:ptCount val="1"/>
                <c:pt idx="0">
                  <c:v>Postpaid</c:v>
                </c:pt>
              </c:strCache>
            </c:strRef>
          </c:tx>
          <c:spPr>
            <a:solidFill>
              <a:srgbClr val="3366FF"/>
            </a:solidFill>
            <a:ln w="25400">
              <a:noFill/>
            </a:ln>
            <a:effectLst/>
          </c:spPr>
          <c:invertIfNegative val="0"/>
          <c:cat>
            <c:strRef>
              <c:f>Charts!$AB$127:$AU$127</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Charts!$AB$130:$AU$130</c:f>
              <c:numCache>
                <c:formatCode>#,##0_);\(#,##0\)</c:formatCode>
                <c:ptCount val="20"/>
                <c:pt idx="0">
                  <c:v>16.68</c:v>
                </c:pt>
                <c:pt idx="1">
                  <c:v>18.62</c:v>
                </c:pt>
                <c:pt idx="2">
                  <c:v>20.21</c:v>
                </c:pt>
                <c:pt idx="3">
                  <c:v>23.33</c:v>
                </c:pt>
                <c:pt idx="4">
                  <c:v>22.81</c:v>
                </c:pt>
                <c:pt idx="5">
                  <c:v>25.59</c:v>
                </c:pt>
                <c:pt idx="6">
                  <c:v>28.04</c:v>
                </c:pt>
                <c:pt idx="7">
                  <c:v>27.4</c:v>
                </c:pt>
                <c:pt idx="8">
                  <c:v>27.2</c:v>
                </c:pt>
                <c:pt idx="9">
                  <c:v>27.9</c:v>
                </c:pt>
                <c:pt idx="10">
                  <c:v>29.1</c:v>
                </c:pt>
                <c:pt idx="11">
                  <c:v>29.3</c:v>
                </c:pt>
                <c:pt idx="12">
                  <c:v>27.5</c:v>
                </c:pt>
                <c:pt idx="13">
                  <c:v>28.4</c:v>
                </c:pt>
                <c:pt idx="14">
                  <c:v>29.5</c:v>
                </c:pt>
                <c:pt idx="15">
                  <c:v>30.4</c:v>
                </c:pt>
                <c:pt idx="16">
                  <c:v>32</c:v>
                </c:pt>
                <c:pt idx="17">
                  <c:v>32.5</c:v>
                </c:pt>
                <c:pt idx="18">
                  <c:v>32.799999999999997</c:v>
                </c:pt>
                <c:pt idx="19">
                  <c:v>33.799999999999997</c:v>
                </c:pt>
              </c:numCache>
            </c:numRef>
          </c:val>
          <c:extLst>
            <c:ext xmlns:c16="http://schemas.microsoft.com/office/drawing/2014/chart" uri="{C3380CC4-5D6E-409C-BE32-E72D297353CC}">
              <c16:uniqueId val="{00000002-5121-402C-BF96-71C60737A8EF}"/>
            </c:ext>
          </c:extLst>
        </c:ser>
        <c:dLbls>
          <c:showLegendKey val="0"/>
          <c:showVal val="0"/>
          <c:showCatName val="0"/>
          <c:showSerName val="0"/>
          <c:showPercent val="0"/>
          <c:showBubbleSize val="0"/>
        </c:dLbls>
        <c:gapWidth val="219"/>
        <c:overlap val="-27"/>
        <c:axId val="624400880"/>
        <c:axId val="624401272"/>
      </c:barChart>
      <c:catAx>
        <c:axId val="6244008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24401272"/>
        <c:crosses val="autoZero"/>
        <c:auto val="1"/>
        <c:lblAlgn val="ctr"/>
        <c:lblOffset val="100"/>
        <c:noMultiLvlLbl val="0"/>
      </c:catAx>
      <c:valAx>
        <c:axId val="624401272"/>
        <c:scaling>
          <c:orientation val="minMax"/>
        </c:scaling>
        <c:delete val="0"/>
        <c:axPos val="l"/>
        <c:majorGridlines>
          <c:spPr>
            <a:ln w="3175" cap="flat" cmpd="sng" algn="ctr">
              <a:solidFill>
                <a:srgbClr val="C0C0C0"/>
              </a:solidFill>
              <a:prstDash val="solid"/>
              <a:round/>
            </a:ln>
            <a:effectLst/>
          </c:spPr>
        </c:majorGridlines>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24400880"/>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Charts!$AA$134</c:f>
              <c:strCache>
                <c:ptCount val="1"/>
                <c:pt idx="0">
                  <c:v>Data usage</c:v>
                </c:pt>
              </c:strCache>
            </c:strRef>
          </c:tx>
          <c:spPr>
            <a:ln w="25400" cap="rnd">
              <a:solidFill>
                <a:srgbClr val="333399"/>
              </a:solidFill>
              <a:prstDash val="solid"/>
              <a:round/>
            </a:ln>
            <a:effectLst/>
          </c:spPr>
          <c:marker>
            <c:symbol val="none"/>
          </c:marker>
          <c:cat>
            <c:strRef>
              <c:f>Charts!$AB$133:$AU$133</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Charts!$AB$134:$AU$134</c:f>
              <c:numCache>
                <c:formatCode>#,##0_);\(#,##0\)</c:formatCode>
                <c:ptCount val="20"/>
                <c:pt idx="0">
                  <c:v>1366.6666666666665</c:v>
                </c:pt>
                <c:pt idx="1">
                  <c:v>1713.0081300813008</c:v>
                </c:pt>
                <c:pt idx="2">
                  <c:v>1584.5528455284552</c:v>
                </c:pt>
                <c:pt idx="3">
                  <c:v>1686.9918699186992</c:v>
                </c:pt>
                <c:pt idx="4">
                  <c:v>1754.471544715447</c:v>
                </c:pt>
                <c:pt idx="5">
                  <c:v>1983.7398373983738</c:v>
                </c:pt>
                <c:pt idx="6">
                  <c:v>2030.0813008130081</c:v>
                </c:pt>
                <c:pt idx="7">
                  <c:v>1983.7398373983738</c:v>
                </c:pt>
                <c:pt idx="8">
                  <c:v>1967.479674796748</c:v>
                </c:pt>
                <c:pt idx="9">
                  <c:v>2024.3902439024389</c:v>
                </c:pt>
                <c:pt idx="10">
                  <c:v>2138.2113821138214</c:v>
                </c:pt>
                <c:pt idx="11">
                  <c:v>2162.6016260162605</c:v>
                </c:pt>
                <c:pt idx="12">
                  <c:v>2048.7804878048782</c:v>
                </c:pt>
                <c:pt idx="13">
                  <c:v>2121.9512195121956</c:v>
                </c:pt>
                <c:pt idx="14">
                  <c:v>2186.9918699186987</c:v>
                </c:pt>
                <c:pt idx="15">
                  <c:v>2260.1626016260161</c:v>
                </c:pt>
                <c:pt idx="16">
                  <c:v>2398.3739837398375</c:v>
                </c:pt>
                <c:pt idx="17">
                  <c:v>2414.6341463414633</c:v>
                </c:pt>
                <c:pt idx="18">
                  <c:v>2447.1544715447158</c:v>
                </c:pt>
                <c:pt idx="19">
                  <c:v>2544.7154471544718</c:v>
                </c:pt>
              </c:numCache>
            </c:numRef>
          </c:val>
          <c:smooth val="0"/>
          <c:extLst>
            <c:ext xmlns:c16="http://schemas.microsoft.com/office/drawing/2014/chart" uri="{C3380CC4-5D6E-409C-BE32-E72D297353CC}">
              <c16:uniqueId val="{00000000-0BB8-415D-AA91-9ED44FF08937}"/>
            </c:ext>
          </c:extLst>
        </c:ser>
        <c:ser>
          <c:idx val="1"/>
          <c:order val="1"/>
          <c:tx>
            <c:strRef>
              <c:f>Charts!$AA$135</c:f>
              <c:strCache>
                <c:ptCount val="1"/>
                <c:pt idx="0">
                  <c:v>ARPU</c:v>
                </c:pt>
              </c:strCache>
            </c:strRef>
          </c:tx>
          <c:spPr>
            <a:ln w="25400" cap="rnd">
              <a:solidFill>
                <a:srgbClr val="99CCFF"/>
              </a:solidFill>
              <a:prstDash val="solid"/>
              <a:round/>
            </a:ln>
            <a:effectLst/>
          </c:spPr>
          <c:marker>
            <c:symbol val="none"/>
          </c:marker>
          <c:cat>
            <c:strRef>
              <c:f>Charts!$AB$133:$AU$133</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Charts!$AB$135:$AU$135</c:f>
              <c:numCache>
                <c:formatCode>#,##0_);\(#,##0\)</c:formatCode>
                <c:ptCount val="20"/>
                <c:pt idx="0">
                  <c:v>104.25531914893618</c:v>
                </c:pt>
                <c:pt idx="1">
                  <c:v>100</c:v>
                </c:pt>
                <c:pt idx="2">
                  <c:v>103.61702127659575</c:v>
                </c:pt>
                <c:pt idx="3">
                  <c:v>102.7659574468085</c:v>
                </c:pt>
                <c:pt idx="4">
                  <c:v>100.85106382978724</c:v>
                </c:pt>
                <c:pt idx="5">
                  <c:v>100</c:v>
                </c:pt>
                <c:pt idx="6">
                  <c:v>99.148936170212764</c:v>
                </c:pt>
                <c:pt idx="7">
                  <c:v>97.659574468085111</c:v>
                </c:pt>
                <c:pt idx="8">
                  <c:v>98.297872340425542</c:v>
                </c:pt>
                <c:pt idx="9">
                  <c:v>101.48936170212765</c:v>
                </c:pt>
                <c:pt idx="10">
                  <c:v>100.63829787234042</c:v>
                </c:pt>
                <c:pt idx="11">
                  <c:v>101.70212765957447</c:v>
                </c:pt>
                <c:pt idx="12">
                  <c:v>99.78723404255318</c:v>
                </c:pt>
                <c:pt idx="13">
                  <c:v>100</c:v>
                </c:pt>
                <c:pt idx="14">
                  <c:v>99.361702127659584</c:v>
                </c:pt>
                <c:pt idx="15">
                  <c:v>97.446808510638292</c:v>
                </c:pt>
                <c:pt idx="16">
                  <c:v>95.106382978723417</c:v>
                </c:pt>
                <c:pt idx="17">
                  <c:v>95.106382978723417</c:v>
                </c:pt>
                <c:pt idx="18">
                  <c:v>94.042553191489361</c:v>
                </c:pt>
                <c:pt idx="19">
                  <c:v>94.680851063829792</c:v>
                </c:pt>
              </c:numCache>
            </c:numRef>
          </c:val>
          <c:smooth val="0"/>
          <c:extLst>
            <c:ext xmlns:c16="http://schemas.microsoft.com/office/drawing/2014/chart" uri="{C3380CC4-5D6E-409C-BE32-E72D297353CC}">
              <c16:uniqueId val="{00000001-0BB8-415D-AA91-9ED44FF08937}"/>
            </c:ext>
          </c:extLst>
        </c:ser>
        <c:dLbls>
          <c:showLegendKey val="0"/>
          <c:showVal val="0"/>
          <c:showCatName val="0"/>
          <c:showSerName val="0"/>
          <c:showPercent val="0"/>
          <c:showBubbleSize val="0"/>
        </c:dLbls>
        <c:smooth val="0"/>
        <c:axId val="624403624"/>
        <c:axId val="624401664"/>
      </c:lineChart>
      <c:catAx>
        <c:axId val="62440362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24401664"/>
        <c:crosses val="autoZero"/>
        <c:auto val="1"/>
        <c:lblAlgn val="ctr"/>
        <c:lblOffset val="100"/>
        <c:noMultiLvlLbl val="0"/>
      </c:catAx>
      <c:valAx>
        <c:axId val="624401664"/>
        <c:scaling>
          <c:orientation val="minMax"/>
        </c:scaling>
        <c:delete val="0"/>
        <c:axPos val="l"/>
        <c:majorGridlines>
          <c:spPr>
            <a:ln w="3175" cap="flat" cmpd="sng" algn="ctr">
              <a:solidFill>
                <a:srgbClr val="C0C0C0"/>
              </a:solidFill>
              <a:prstDash val="solid"/>
              <a:round/>
            </a:ln>
            <a:effectLst/>
          </c:spPr>
        </c:majorGridlines>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24403624"/>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Charts!$AA$146</c:f>
              <c:strCache>
                <c:ptCount val="1"/>
                <c:pt idx="0">
                  <c:v>Data user subscribers</c:v>
                </c:pt>
              </c:strCache>
            </c:strRef>
          </c:tx>
          <c:spPr>
            <a:solidFill>
              <a:srgbClr val="000080"/>
            </a:solidFill>
            <a:ln w="25400">
              <a:noFill/>
            </a:ln>
            <a:effectLst/>
          </c:spPr>
          <c:invertIfNegative val="0"/>
          <c:cat>
            <c:strRef>
              <c:f>Charts!$AB$145:$AU$145</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Charts!$AB$146:$AU$146</c:f>
              <c:numCache>
                <c:formatCode>#,##0_);\(#,##0\)</c:formatCode>
                <c:ptCount val="20"/>
                <c:pt idx="0">
                  <c:v>8300</c:v>
                </c:pt>
                <c:pt idx="1">
                  <c:v>8400</c:v>
                </c:pt>
                <c:pt idx="2">
                  <c:v>8600</c:v>
                </c:pt>
                <c:pt idx="3">
                  <c:v>8800</c:v>
                </c:pt>
                <c:pt idx="4">
                  <c:v>8900</c:v>
                </c:pt>
                <c:pt idx="5">
                  <c:v>8500</c:v>
                </c:pt>
                <c:pt idx="6">
                  <c:v>8800</c:v>
                </c:pt>
                <c:pt idx="7">
                  <c:v>8500</c:v>
                </c:pt>
                <c:pt idx="8">
                  <c:v>8500</c:v>
                </c:pt>
                <c:pt idx="9">
                  <c:v>0</c:v>
                </c:pt>
                <c:pt idx="10">
                  <c:v>0</c:v>
                </c:pt>
                <c:pt idx="11">
                  <c:v>0</c:v>
                </c:pt>
                <c:pt idx="12">
                  <c:v>0</c:v>
                </c:pt>
                <c:pt idx="13">
                  <c:v>0</c:v>
                </c:pt>
                <c:pt idx="14">
                  <c:v>0</c:v>
                </c:pt>
                <c:pt idx="15">
                  <c:v>0</c:v>
                </c:pt>
                <c:pt idx="16">
                  <c:v>0</c:v>
                </c:pt>
                <c:pt idx="17">
                  <c:v>0</c:v>
                </c:pt>
                <c:pt idx="18">
                  <c:v>0</c:v>
                </c:pt>
                <c:pt idx="19">
                  <c:v>0</c:v>
                </c:pt>
              </c:numCache>
            </c:numRef>
          </c:val>
          <c:extLst>
            <c:ext xmlns:c16="http://schemas.microsoft.com/office/drawing/2014/chart" uri="{C3380CC4-5D6E-409C-BE32-E72D297353CC}">
              <c16:uniqueId val="{00000000-667F-4FED-BFF8-F448C89E62BD}"/>
            </c:ext>
          </c:extLst>
        </c:ser>
        <c:dLbls>
          <c:showLegendKey val="0"/>
          <c:showVal val="0"/>
          <c:showCatName val="0"/>
          <c:showSerName val="0"/>
          <c:showPercent val="0"/>
          <c:showBubbleSize val="0"/>
        </c:dLbls>
        <c:gapWidth val="219"/>
        <c:overlap val="-27"/>
        <c:axId val="624402448"/>
        <c:axId val="624402840"/>
      </c:barChart>
      <c:catAx>
        <c:axId val="624402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24402840"/>
        <c:crosses val="autoZero"/>
        <c:auto val="1"/>
        <c:lblAlgn val="ctr"/>
        <c:lblOffset val="100"/>
        <c:noMultiLvlLbl val="0"/>
      </c:catAx>
      <c:valAx>
        <c:axId val="624402840"/>
        <c:scaling>
          <c:orientation val="minMax"/>
        </c:scaling>
        <c:delete val="0"/>
        <c:axPos val="l"/>
        <c:majorGridlines>
          <c:spPr>
            <a:ln w="3175" cap="flat" cmpd="sng" algn="ctr">
              <a:solidFill>
                <a:srgbClr val="C0C0C0"/>
              </a:solidFill>
              <a:prstDash val="solid"/>
              <a:round/>
            </a:ln>
            <a:effectLst/>
          </c:spPr>
        </c:majorGridlines>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24402448"/>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Charts!$AA$152</c:f>
              <c:strCache>
                <c:ptCount val="1"/>
                <c:pt idx="0">
                  <c:v>Data user net adds</c:v>
                </c:pt>
              </c:strCache>
            </c:strRef>
          </c:tx>
          <c:spPr>
            <a:solidFill>
              <a:srgbClr val="000080"/>
            </a:solidFill>
            <a:ln w="25400">
              <a:noFill/>
            </a:ln>
            <a:effectLst/>
          </c:spPr>
          <c:invertIfNegative val="0"/>
          <c:cat>
            <c:strRef>
              <c:f>Charts!$AB$151:$AU$151</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Charts!$AB$152:$AU$152</c:f>
              <c:numCache>
                <c:formatCode>#,##0_);\(#,##0\)</c:formatCode>
                <c:ptCount val="20"/>
                <c:pt idx="0">
                  <c:v>-400</c:v>
                </c:pt>
                <c:pt idx="1">
                  <c:v>100</c:v>
                </c:pt>
                <c:pt idx="2">
                  <c:v>200</c:v>
                </c:pt>
                <c:pt idx="3">
                  <c:v>200</c:v>
                </c:pt>
                <c:pt idx="4">
                  <c:v>100</c:v>
                </c:pt>
                <c:pt idx="5">
                  <c:v>-400</c:v>
                </c:pt>
                <c:pt idx="6">
                  <c:v>300</c:v>
                </c:pt>
                <c:pt idx="7">
                  <c:v>-300</c:v>
                </c:pt>
                <c:pt idx="8">
                  <c:v>0</c:v>
                </c:pt>
                <c:pt idx="9">
                  <c:v>0</c:v>
                </c:pt>
                <c:pt idx="10">
                  <c:v>0</c:v>
                </c:pt>
                <c:pt idx="11">
                  <c:v>0</c:v>
                </c:pt>
                <c:pt idx="12">
                  <c:v>0</c:v>
                </c:pt>
                <c:pt idx="13">
                  <c:v>0</c:v>
                </c:pt>
                <c:pt idx="14">
                  <c:v>0</c:v>
                </c:pt>
                <c:pt idx="15">
                  <c:v>0</c:v>
                </c:pt>
                <c:pt idx="16">
                  <c:v>0</c:v>
                </c:pt>
                <c:pt idx="17">
                  <c:v>0</c:v>
                </c:pt>
                <c:pt idx="18">
                  <c:v>0</c:v>
                </c:pt>
                <c:pt idx="19">
                  <c:v>0</c:v>
                </c:pt>
              </c:numCache>
            </c:numRef>
          </c:val>
          <c:extLst>
            <c:ext xmlns:c16="http://schemas.microsoft.com/office/drawing/2014/chart" uri="{C3380CC4-5D6E-409C-BE32-E72D297353CC}">
              <c16:uniqueId val="{00000000-DE8F-4276-B619-ABA931F297C8}"/>
            </c:ext>
          </c:extLst>
        </c:ser>
        <c:dLbls>
          <c:showLegendKey val="0"/>
          <c:showVal val="0"/>
          <c:showCatName val="0"/>
          <c:showSerName val="0"/>
          <c:showPercent val="0"/>
          <c:showBubbleSize val="0"/>
        </c:dLbls>
        <c:gapWidth val="219"/>
        <c:overlap val="-27"/>
        <c:axId val="624404016"/>
        <c:axId val="624404408"/>
      </c:barChart>
      <c:catAx>
        <c:axId val="62440401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24404408"/>
        <c:crosses val="autoZero"/>
        <c:auto val="1"/>
        <c:lblAlgn val="ctr"/>
        <c:lblOffset val="100"/>
        <c:noMultiLvlLbl val="0"/>
      </c:catAx>
      <c:valAx>
        <c:axId val="624404408"/>
        <c:scaling>
          <c:orientation val="minMax"/>
        </c:scaling>
        <c:delete val="0"/>
        <c:axPos val="l"/>
        <c:majorGridlines>
          <c:spPr>
            <a:ln w="3175" cap="flat" cmpd="sng" algn="ctr">
              <a:solidFill>
                <a:srgbClr val="C0C0C0"/>
              </a:solidFill>
              <a:prstDash val="solid"/>
              <a:round/>
            </a:ln>
            <a:effectLst/>
          </c:spPr>
        </c:majorGridlines>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24404016"/>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'Profit and Loss Highlights'!$B$55</c:f>
              <c:strCache>
                <c:ptCount val="1"/>
                <c:pt idx="0">
                  <c:v>Underlying EBITDA</c:v>
                </c:pt>
              </c:strCache>
            </c:strRef>
          </c:tx>
          <c:spPr>
            <a:solidFill>
              <a:srgbClr val="000080"/>
            </a:solidFill>
            <a:ln w="25400">
              <a:noFill/>
            </a:ln>
            <a:effectLst/>
          </c:spPr>
          <c:invertIfNegative val="0"/>
          <c:cat>
            <c:strRef>
              <c:f>'Profit and Loss Highlights'!$H$1:$AF$1</c:f>
              <c:strCache>
                <c:ptCount val="25"/>
                <c:pt idx="0">
                  <c:v>2Q13</c:v>
                </c:pt>
                <c:pt idx="1">
                  <c:v>3Q13</c:v>
                </c:pt>
                <c:pt idx="2">
                  <c:v>4Q13</c:v>
                </c:pt>
                <c:pt idx="3">
                  <c:v>1Q14</c:v>
                </c:pt>
                <c:pt idx="4">
                  <c:v>2Q14</c:v>
                </c:pt>
                <c:pt idx="5">
                  <c:v>3Q14</c:v>
                </c:pt>
                <c:pt idx="6">
                  <c:v>4Q14</c:v>
                </c:pt>
                <c:pt idx="7">
                  <c:v>1Q15</c:v>
                </c:pt>
                <c:pt idx="8">
                  <c:v>2Q15</c:v>
                </c:pt>
                <c:pt idx="9">
                  <c:v>3Q15</c:v>
                </c:pt>
                <c:pt idx="10">
                  <c:v>4Q15</c:v>
                </c:pt>
                <c:pt idx="11">
                  <c:v>1Q16</c:v>
                </c:pt>
                <c:pt idx="12">
                  <c:v>2Q16</c:v>
                </c:pt>
                <c:pt idx="13">
                  <c:v>3Q16</c:v>
                </c:pt>
                <c:pt idx="14">
                  <c:v>4Q16</c:v>
                </c:pt>
                <c:pt idx="15">
                  <c:v>1Q17</c:v>
                </c:pt>
                <c:pt idx="16">
                  <c:v>2Q17</c:v>
                </c:pt>
                <c:pt idx="17">
                  <c:v>3Q17</c:v>
                </c:pt>
                <c:pt idx="18">
                  <c:v>4Q17</c:v>
                </c:pt>
                <c:pt idx="19">
                  <c:v>1Q18</c:v>
                </c:pt>
                <c:pt idx="20">
                  <c:v>2Q18</c:v>
                </c:pt>
                <c:pt idx="21">
                  <c:v>3Q18</c:v>
                </c:pt>
                <c:pt idx="22">
                  <c:v>4Q18</c:v>
                </c:pt>
                <c:pt idx="23">
                  <c:v>1Q19</c:v>
                </c:pt>
                <c:pt idx="24">
                  <c:v>2Q19</c:v>
                </c:pt>
              </c:strCache>
            </c:strRef>
          </c:cat>
          <c:val>
            <c:numRef>
              <c:f>'Profit and Loss Highlights'!$H$55:$AF$55</c:f>
              <c:numCache>
                <c:formatCode>_-* #,##0_-;* \(#,##0\)_-;_-* "-"??_-;_-@_-</c:formatCode>
                <c:ptCount val="25"/>
                <c:pt idx="0">
                  <c:v>1165.8599999999999</c:v>
                </c:pt>
                <c:pt idx="1">
                  <c:v>1153.085</c:v>
                </c:pt>
                <c:pt idx="2">
                  <c:v>1080.864</c:v>
                </c:pt>
                <c:pt idx="3">
                  <c:v>1072.954</c:v>
                </c:pt>
                <c:pt idx="4">
                  <c:v>1086.0340000000001</c:v>
                </c:pt>
                <c:pt idx="5">
                  <c:v>1078.96</c:v>
                </c:pt>
                <c:pt idx="6">
                  <c:v>999.9559999999999</c:v>
                </c:pt>
                <c:pt idx="7">
                  <c:v>1084.0319999999999</c:v>
                </c:pt>
                <c:pt idx="8">
                  <c:v>1110.02</c:v>
                </c:pt>
                <c:pt idx="9">
                  <c:v>1111</c:v>
                </c:pt>
                <c:pt idx="10">
                  <c:v>1121</c:v>
                </c:pt>
                <c:pt idx="11">
                  <c:v>1161</c:v>
                </c:pt>
                <c:pt idx="12">
                  <c:v>1010</c:v>
                </c:pt>
                <c:pt idx="13">
                  <c:v>1144</c:v>
                </c:pt>
                <c:pt idx="14">
                  <c:v>1187</c:v>
                </c:pt>
                <c:pt idx="15">
                  <c:v>1024</c:v>
                </c:pt>
                <c:pt idx="16">
                  <c:v>1006</c:v>
                </c:pt>
                <c:pt idx="17">
                  <c:v>1119</c:v>
                </c:pt>
                <c:pt idx="18">
                  <c:v>1046</c:v>
                </c:pt>
                <c:pt idx="19">
                  <c:v>1020</c:v>
                </c:pt>
                <c:pt idx="20">
                  <c:v>1007</c:v>
                </c:pt>
                <c:pt idx="21">
                  <c:v>1047</c:v>
                </c:pt>
                <c:pt idx="22">
                  <c:v>769</c:v>
                </c:pt>
                <c:pt idx="23">
                  <c:v>991</c:v>
                </c:pt>
                <c:pt idx="24">
                  <c:v>985</c:v>
                </c:pt>
              </c:numCache>
            </c:numRef>
          </c:val>
          <c:extLst>
            <c:ext xmlns:c16="http://schemas.microsoft.com/office/drawing/2014/chart" uri="{C3380CC4-5D6E-409C-BE32-E72D297353CC}">
              <c16:uniqueId val="{00000000-DC6B-4540-9810-DD5FE34DE54A}"/>
            </c:ext>
          </c:extLst>
        </c:ser>
        <c:dLbls>
          <c:showLegendKey val="0"/>
          <c:showVal val="0"/>
          <c:showCatName val="0"/>
          <c:showSerName val="0"/>
          <c:showPercent val="0"/>
          <c:showBubbleSize val="0"/>
        </c:dLbls>
        <c:gapWidth val="156"/>
        <c:overlap val="-27"/>
        <c:axId val="328609352"/>
        <c:axId val="328611704"/>
      </c:barChart>
      <c:lineChart>
        <c:grouping val="standard"/>
        <c:varyColors val="0"/>
        <c:ser>
          <c:idx val="1"/>
          <c:order val="1"/>
          <c:tx>
            <c:strRef>
              <c:f>'Profit and Loss Highlights'!$B$144</c:f>
              <c:strCache>
                <c:ptCount val="1"/>
                <c:pt idx="0">
                  <c:v>EBITDA growth (% YoY)</c:v>
                </c:pt>
              </c:strCache>
            </c:strRef>
          </c:tx>
          <c:spPr>
            <a:ln w="25400" cap="rnd">
              <a:solidFill>
                <a:schemeClr val="accent1">
                  <a:lumMod val="60000"/>
                  <a:lumOff val="40000"/>
                </a:schemeClr>
              </a:solidFill>
              <a:prstDash val="solid"/>
              <a:round/>
            </a:ln>
            <a:effectLst/>
          </c:spPr>
          <c:marker>
            <c:symbol val="none"/>
          </c:marker>
          <c:val>
            <c:numRef>
              <c:f>'Profit and Loss Highlights'!$H$144:$AF$144</c:f>
              <c:numCache>
                <c:formatCode>0.0%</c:formatCode>
                <c:ptCount val="25"/>
                <c:pt idx="0">
                  <c:v>5.4177771448334688E-2</c:v>
                </c:pt>
                <c:pt idx="1">
                  <c:v>9.3162219761550924E-2</c:v>
                </c:pt>
                <c:pt idx="2">
                  <c:v>1.4541399623793305E-2</c:v>
                </c:pt>
                <c:pt idx="3">
                  <c:v>-4.3383909259335329E-2</c:v>
                </c:pt>
                <c:pt idx="4">
                  <c:v>-6.846962757106323E-2</c:v>
                </c:pt>
                <c:pt idx="5">
                  <c:v>-6.428407272664205E-2</c:v>
                </c:pt>
                <c:pt idx="6">
                  <c:v>-7.4854930870118852E-2</c:v>
                </c:pt>
                <c:pt idx="7">
                  <c:v>1.0324766951798514E-2</c:v>
                </c:pt>
                <c:pt idx="8">
                  <c:v>2.2085864715100989E-2</c:v>
                </c:pt>
                <c:pt idx="9">
                  <c:v>2.9695262104248554E-2</c:v>
                </c:pt>
                <c:pt idx="10">
                  <c:v>0.12104932617035158</c:v>
                </c:pt>
                <c:pt idx="11">
                  <c:v>7.1001594048884176E-2</c:v>
                </c:pt>
                <c:pt idx="12">
                  <c:v>-9.0106484567845646E-2</c:v>
                </c:pt>
                <c:pt idx="13">
                  <c:v>2.9702970297029729E-2</c:v>
                </c:pt>
                <c:pt idx="14">
                  <c:v>5.8876003568242741E-2</c:v>
                </c:pt>
                <c:pt idx="15">
                  <c:v>-0.11800172265288544</c:v>
                </c:pt>
                <c:pt idx="16">
                  <c:v>-3.9603960396039639E-3</c:v>
                </c:pt>
                <c:pt idx="17">
                  <c:v>-2.1853146853146876E-2</c:v>
                </c:pt>
                <c:pt idx="18">
                  <c:v>-0.11878685762426289</c:v>
                </c:pt>
                <c:pt idx="19">
                  <c:v>-3.90625E-3</c:v>
                </c:pt>
                <c:pt idx="20">
                  <c:v>9.9403578528822756E-4</c:v>
                </c:pt>
                <c:pt idx="21">
                  <c:v>-6.4343163538874037E-2</c:v>
                </c:pt>
                <c:pt idx="22">
                  <c:v>-0.26481835564053535</c:v>
                </c:pt>
                <c:pt idx="23">
                  <c:v>-6.568627450980391E-2</c:v>
                </c:pt>
                <c:pt idx="24">
                  <c:v>-5.9582919563058612E-2</c:v>
                </c:pt>
              </c:numCache>
            </c:numRef>
          </c:val>
          <c:smooth val="0"/>
          <c:extLst>
            <c:ext xmlns:c16="http://schemas.microsoft.com/office/drawing/2014/chart" uri="{C3380CC4-5D6E-409C-BE32-E72D297353CC}">
              <c16:uniqueId val="{00000001-DC6B-4540-9810-DD5FE34DE54A}"/>
            </c:ext>
          </c:extLst>
        </c:ser>
        <c:dLbls>
          <c:showLegendKey val="0"/>
          <c:showVal val="0"/>
          <c:showCatName val="0"/>
          <c:showSerName val="0"/>
          <c:showPercent val="0"/>
          <c:showBubbleSize val="0"/>
        </c:dLbls>
        <c:marker val="1"/>
        <c:smooth val="0"/>
        <c:axId val="328611312"/>
        <c:axId val="328610920"/>
      </c:lineChart>
      <c:catAx>
        <c:axId val="328609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328611704"/>
        <c:crosses val="autoZero"/>
        <c:auto val="1"/>
        <c:lblAlgn val="ctr"/>
        <c:lblOffset val="100"/>
        <c:noMultiLvlLbl val="0"/>
      </c:catAx>
      <c:valAx>
        <c:axId val="328611704"/>
        <c:scaling>
          <c:orientation val="minMax"/>
        </c:scaling>
        <c:delete val="0"/>
        <c:axPos val="l"/>
        <c:majorGridlines>
          <c:spPr>
            <a:ln w="3175" cap="flat" cmpd="sng" algn="ctr">
              <a:solidFill>
                <a:srgbClr val="C0C0C0"/>
              </a:solidFill>
              <a:prstDash val="solid"/>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328609352"/>
        <c:crosses val="autoZero"/>
        <c:crossBetween val="between"/>
      </c:valAx>
      <c:valAx>
        <c:axId val="328610920"/>
        <c:scaling>
          <c:orientation val="minMax"/>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328611312"/>
        <c:crosses val="max"/>
        <c:crossBetween val="between"/>
      </c:valAx>
      <c:catAx>
        <c:axId val="328611312"/>
        <c:scaling>
          <c:orientation val="minMax"/>
        </c:scaling>
        <c:delete val="1"/>
        <c:axPos val="b"/>
        <c:majorTickMark val="out"/>
        <c:minorTickMark val="none"/>
        <c:tickLblPos val="nextTo"/>
        <c:crossAx val="328610920"/>
        <c:crosses val="autoZero"/>
        <c:auto val="1"/>
        <c:lblAlgn val="ctr"/>
        <c:lblOffset val="100"/>
        <c:noMultiLvlLbl val="0"/>
      </c:cat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Charts!$AA$162</c:f>
              <c:strCache>
                <c:ptCount val="1"/>
                <c:pt idx="0">
                  <c:v>Average Revenue per User (ARPU) Blended, ex M2M</c:v>
                </c:pt>
              </c:strCache>
            </c:strRef>
          </c:tx>
          <c:spPr>
            <a:ln w="25400" cap="rnd">
              <a:solidFill>
                <a:srgbClr val="333399"/>
              </a:solidFill>
              <a:prstDash val="solid"/>
              <a:round/>
            </a:ln>
            <a:effectLst/>
          </c:spPr>
          <c:marker>
            <c:symbol val="none"/>
          </c:marker>
          <c:cat>
            <c:strRef>
              <c:f>Charts!$AB$161:$AU$161</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Charts!$AB$162:$AU$162</c:f>
              <c:numCache>
                <c:formatCode>#,##0_);\(#,##0\)</c:formatCode>
                <c:ptCount val="20"/>
                <c:pt idx="0">
                  <c:v>49</c:v>
                </c:pt>
                <c:pt idx="1">
                  <c:v>47</c:v>
                </c:pt>
                <c:pt idx="2">
                  <c:v>48.7</c:v>
                </c:pt>
                <c:pt idx="3">
                  <c:v>48.3</c:v>
                </c:pt>
                <c:pt idx="4">
                  <c:v>47.4</c:v>
                </c:pt>
                <c:pt idx="5">
                  <c:v>47</c:v>
                </c:pt>
                <c:pt idx="6">
                  <c:v>46.6</c:v>
                </c:pt>
                <c:pt idx="7">
                  <c:v>45.9</c:v>
                </c:pt>
                <c:pt idx="8">
                  <c:v>46.2</c:v>
                </c:pt>
                <c:pt idx="9">
                  <c:v>47.7</c:v>
                </c:pt>
                <c:pt idx="10">
                  <c:v>47.3</c:v>
                </c:pt>
                <c:pt idx="11">
                  <c:v>47.8</c:v>
                </c:pt>
                <c:pt idx="12">
                  <c:v>46.9</c:v>
                </c:pt>
                <c:pt idx="13">
                  <c:v>47</c:v>
                </c:pt>
                <c:pt idx="14">
                  <c:v>46.7</c:v>
                </c:pt>
                <c:pt idx="15">
                  <c:v>45.8</c:v>
                </c:pt>
                <c:pt idx="16">
                  <c:v>44.7</c:v>
                </c:pt>
                <c:pt idx="17">
                  <c:v>44.7</c:v>
                </c:pt>
                <c:pt idx="18">
                  <c:v>44.2</c:v>
                </c:pt>
                <c:pt idx="19">
                  <c:v>44.5</c:v>
                </c:pt>
              </c:numCache>
            </c:numRef>
          </c:val>
          <c:smooth val="0"/>
          <c:extLst>
            <c:ext xmlns:c16="http://schemas.microsoft.com/office/drawing/2014/chart" uri="{C3380CC4-5D6E-409C-BE32-E72D297353CC}">
              <c16:uniqueId val="{00000000-464A-4E54-A833-BC968989B6CC}"/>
            </c:ext>
          </c:extLst>
        </c:ser>
        <c:dLbls>
          <c:showLegendKey val="0"/>
          <c:showVal val="0"/>
          <c:showCatName val="0"/>
          <c:showSerName val="0"/>
          <c:showPercent val="0"/>
          <c:showBubbleSize val="0"/>
        </c:dLbls>
        <c:smooth val="0"/>
        <c:axId val="624405976"/>
        <c:axId val="624408328"/>
      </c:lineChart>
      <c:catAx>
        <c:axId val="62440597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24408328"/>
        <c:crosses val="autoZero"/>
        <c:auto val="1"/>
        <c:lblAlgn val="ctr"/>
        <c:lblOffset val="100"/>
        <c:noMultiLvlLbl val="0"/>
      </c:catAx>
      <c:valAx>
        <c:axId val="624408328"/>
        <c:scaling>
          <c:orientation val="minMax"/>
        </c:scaling>
        <c:delete val="0"/>
        <c:axPos val="l"/>
        <c:majorGridlines>
          <c:spPr>
            <a:ln w="3175" cap="flat" cmpd="sng" algn="ctr">
              <a:solidFill>
                <a:srgbClr val="C0C0C0"/>
              </a:solidFill>
              <a:prstDash val="solid"/>
              <a:round/>
            </a:ln>
            <a:effectLst/>
          </c:spPr>
        </c:majorGridlines>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24405976"/>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Charts!$AA$167</c:f>
              <c:strCache>
                <c:ptCount val="1"/>
                <c:pt idx="0">
                  <c:v>ARPU Growth</c:v>
                </c:pt>
              </c:strCache>
            </c:strRef>
          </c:tx>
          <c:spPr>
            <a:ln w="25400" cap="rnd">
              <a:solidFill>
                <a:srgbClr val="333399"/>
              </a:solidFill>
              <a:prstDash val="solid"/>
              <a:round/>
            </a:ln>
            <a:effectLst/>
          </c:spPr>
          <c:marker>
            <c:symbol val="none"/>
          </c:marker>
          <c:cat>
            <c:strRef>
              <c:f>Charts!$AB$166:$AU$166</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Charts!$AB$167:$AU$167</c:f>
              <c:numCache>
                <c:formatCode>0.0%</c:formatCode>
                <c:ptCount val="20"/>
                <c:pt idx="0">
                  <c:v>-3.9215686274509776E-2</c:v>
                </c:pt>
                <c:pt idx="1">
                  <c:v>-7.8431372549019662E-2</c:v>
                </c:pt>
                <c:pt idx="2">
                  <c:v>-4.5098039215686225E-2</c:v>
                </c:pt>
                <c:pt idx="3">
                  <c:v>-5.2941176470588269E-2</c:v>
                </c:pt>
                <c:pt idx="4">
                  <c:v>-3.2653061224489854E-2</c:v>
                </c:pt>
                <c:pt idx="5">
                  <c:v>0</c:v>
                </c:pt>
                <c:pt idx="6">
                  <c:v>-4.3121149897330624E-2</c:v>
                </c:pt>
                <c:pt idx="7">
                  <c:v>-4.9689440993788803E-2</c:v>
                </c:pt>
                <c:pt idx="8">
                  <c:v>-2.5316455696202445E-2</c:v>
                </c:pt>
                <c:pt idx="9">
                  <c:v>1.4893617021276562E-2</c:v>
                </c:pt>
                <c:pt idx="10">
                  <c:v>1.5021459227467782E-2</c:v>
                </c:pt>
                <c:pt idx="11">
                  <c:v>4.1394335511982572E-2</c:v>
                </c:pt>
                <c:pt idx="12">
                  <c:v>1.5151515151515138E-2</c:v>
                </c:pt>
                <c:pt idx="13">
                  <c:v>-1.4675052410901501E-2</c:v>
                </c:pt>
                <c:pt idx="14">
                  <c:v>-1.2684989429175397E-2</c:v>
                </c:pt>
                <c:pt idx="15">
                  <c:v>-4.1841004184100417E-2</c:v>
                </c:pt>
                <c:pt idx="16">
                  <c:v>-4.6908315565031944E-2</c:v>
                </c:pt>
                <c:pt idx="17">
                  <c:v>-4.8936170212765862E-2</c:v>
                </c:pt>
                <c:pt idx="18">
                  <c:v>-5.3533190578158418E-2</c:v>
                </c:pt>
                <c:pt idx="19">
                  <c:v>-2.8384279475982432E-2</c:v>
                </c:pt>
              </c:numCache>
            </c:numRef>
          </c:val>
          <c:smooth val="0"/>
          <c:extLst>
            <c:ext xmlns:c16="http://schemas.microsoft.com/office/drawing/2014/chart" uri="{C3380CC4-5D6E-409C-BE32-E72D297353CC}">
              <c16:uniqueId val="{00000000-7C60-4BDC-912F-569C0E54DB60}"/>
            </c:ext>
          </c:extLst>
        </c:ser>
        <c:ser>
          <c:idx val="1"/>
          <c:order val="1"/>
          <c:tx>
            <c:strRef>
              <c:f>Charts!$AA$168</c:f>
              <c:strCache>
                <c:ptCount val="1"/>
                <c:pt idx="0">
                  <c:v>Prepaid ARPU growth (YoY)</c:v>
                </c:pt>
              </c:strCache>
            </c:strRef>
          </c:tx>
          <c:spPr>
            <a:ln w="25400" cap="rnd">
              <a:solidFill>
                <a:srgbClr val="99CCFF"/>
              </a:solidFill>
              <a:prstDash val="solid"/>
              <a:round/>
            </a:ln>
            <a:effectLst/>
          </c:spPr>
          <c:marker>
            <c:symbol val="none"/>
          </c:marker>
          <c:cat>
            <c:strRef>
              <c:f>Charts!$AB$166:$AU$166</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Charts!$AB$168:$AU$168</c:f>
              <c:numCache>
                <c:formatCode>0.0%</c:formatCode>
                <c:ptCount val="20"/>
                <c:pt idx="0">
                  <c:v>-8.5714285714285743E-2</c:v>
                </c:pt>
                <c:pt idx="1">
                  <c:v>-0.12571428571428567</c:v>
                </c:pt>
                <c:pt idx="2">
                  <c:v>-5.428571428571427E-2</c:v>
                </c:pt>
                <c:pt idx="3">
                  <c:v>-7.4285714285714288E-2</c:v>
                </c:pt>
                <c:pt idx="4">
                  <c:v>-1.2499999999999956E-2</c:v>
                </c:pt>
                <c:pt idx="5">
                  <c:v>1.3071895424836555E-2</c:v>
                </c:pt>
                <c:pt idx="6">
                  <c:v>-7.8549848942598199E-2</c:v>
                </c:pt>
                <c:pt idx="7">
                  <c:v>-8.333333333333337E-2</c:v>
                </c:pt>
                <c:pt idx="8">
                  <c:v>-4.4303797468354444E-2</c:v>
                </c:pt>
                <c:pt idx="9">
                  <c:v>2.5806451612903292E-2</c:v>
                </c:pt>
                <c:pt idx="10">
                  <c:v>2.6229508196721429E-2</c:v>
                </c:pt>
                <c:pt idx="11">
                  <c:v>7.0707070707070718E-2</c:v>
                </c:pt>
                <c:pt idx="12">
                  <c:v>1.655629139072845E-2</c:v>
                </c:pt>
                <c:pt idx="13">
                  <c:v>-3.1446540880503138E-2</c:v>
                </c:pt>
                <c:pt idx="14">
                  <c:v>-1.9169329073482455E-2</c:v>
                </c:pt>
                <c:pt idx="15">
                  <c:v>-6.9182389937106903E-2</c:v>
                </c:pt>
                <c:pt idx="16">
                  <c:v>-6.514657980456029E-2</c:v>
                </c:pt>
                <c:pt idx="17">
                  <c:v>-6.1688311688311792E-2</c:v>
                </c:pt>
                <c:pt idx="18">
                  <c:v>-7.4918566775244333E-2</c:v>
                </c:pt>
                <c:pt idx="19">
                  <c:v>-5.0675675675675658E-2</c:v>
                </c:pt>
              </c:numCache>
            </c:numRef>
          </c:val>
          <c:smooth val="0"/>
          <c:extLst>
            <c:ext xmlns:c16="http://schemas.microsoft.com/office/drawing/2014/chart" uri="{C3380CC4-5D6E-409C-BE32-E72D297353CC}">
              <c16:uniqueId val="{00000001-7C60-4BDC-912F-569C0E54DB60}"/>
            </c:ext>
          </c:extLst>
        </c:ser>
        <c:ser>
          <c:idx val="2"/>
          <c:order val="2"/>
          <c:tx>
            <c:strRef>
              <c:f>Charts!$AA$169</c:f>
              <c:strCache>
                <c:ptCount val="1"/>
                <c:pt idx="0">
                  <c:v>Postpaid ARPU growth (YoY)</c:v>
                </c:pt>
              </c:strCache>
            </c:strRef>
          </c:tx>
          <c:spPr>
            <a:ln w="25400" cap="rnd">
              <a:solidFill>
                <a:srgbClr val="333399"/>
              </a:solidFill>
              <a:prstDash val="lgDash"/>
              <a:round/>
            </a:ln>
            <a:effectLst/>
          </c:spPr>
          <c:marker>
            <c:symbol val="none"/>
          </c:marker>
          <c:cat>
            <c:strRef>
              <c:f>Charts!$AB$166:$AU$166</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Charts!$AB$169:$AU$169</c:f>
              <c:numCache>
                <c:formatCode>0.0%</c:formatCode>
                <c:ptCount val="20"/>
                <c:pt idx="0">
                  <c:v>-7.9545454545454586E-2</c:v>
                </c:pt>
                <c:pt idx="1">
                  <c:v>-7.5581395348837233E-2</c:v>
                </c:pt>
                <c:pt idx="2">
                  <c:v>-7.7647058823529291E-2</c:v>
                </c:pt>
                <c:pt idx="3">
                  <c:v>-7.9761904761904812E-2</c:v>
                </c:pt>
                <c:pt idx="4">
                  <c:v>-6.1728395061728447E-2</c:v>
                </c:pt>
                <c:pt idx="5">
                  <c:v>-5.1572327044025035E-2</c:v>
                </c:pt>
                <c:pt idx="6">
                  <c:v>-4.3367346938775531E-2</c:v>
                </c:pt>
                <c:pt idx="7">
                  <c:v>-5.0452781371280619E-2</c:v>
                </c:pt>
                <c:pt idx="8">
                  <c:v>-4.6052631578947345E-2</c:v>
                </c:pt>
                <c:pt idx="9">
                  <c:v>-3.5809018567639295E-2</c:v>
                </c:pt>
                <c:pt idx="10">
                  <c:v>-2.9333333333333322E-2</c:v>
                </c:pt>
                <c:pt idx="11">
                  <c:v>-9.5367847411444995E-3</c:v>
                </c:pt>
                <c:pt idx="12">
                  <c:v>-1.6551724137931045E-2</c:v>
                </c:pt>
                <c:pt idx="13">
                  <c:v>-2.3383768913342595E-2</c:v>
                </c:pt>
                <c:pt idx="14">
                  <c:v>-3.5714285714285587E-2</c:v>
                </c:pt>
                <c:pt idx="15">
                  <c:v>-3.9889958734525499E-2</c:v>
                </c:pt>
                <c:pt idx="16">
                  <c:v>-4.2075736325385749E-2</c:v>
                </c:pt>
                <c:pt idx="17">
                  <c:v>-4.9295774647887369E-2</c:v>
                </c:pt>
                <c:pt idx="18">
                  <c:v>-4.5584045584045607E-2</c:v>
                </c:pt>
                <c:pt idx="19">
                  <c:v>-3.1518624641833859E-2</c:v>
                </c:pt>
              </c:numCache>
            </c:numRef>
          </c:val>
          <c:smooth val="0"/>
          <c:extLst>
            <c:ext xmlns:c16="http://schemas.microsoft.com/office/drawing/2014/chart" uri="{C3380CC4-5D6E-409C-BE32-E72D297353CC}">
              <c16:uniqueId val="{00000002-7C60-4BDC-912F-569C0E54DB60}"/>
            </c:ext>
          </c:extLst>
        </c:ser>
        <c:dLbls>
          <c:showLegendKey val="0"/>
          <c:showVal val="0"/>
          <c:showCatName val="0"/>
          <c:showSerName val="0"/>
          <c:showPercent val="0"/>
          <c:showBubbleSize val="0"/>
        </c:dLbls>
        <c:smooth val="0"/>
        <c:axId val="624406368"/>
        <c:axId val="624407152"/>
      </c:lineChart>
      <c:catAx>
        <c:axId val="62440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24407152"/>
        <c:crosses val="autoZero"/>
        <c:auto val="1"/>
        <c:lblAlgn val="ctr"/>
        <c:lblOffset val="100"/>
        <c:noMultiLvlLbl val="0"/>
      </c:catAx>
      <c:valAx>
        <c:axId val="624407152"/>
        <c:scaling>
          <c:orientation val="minMax"/>
        </c:scaling>
        <c:delete val="0"/>
        <c:axPos val="l"/>
        <c:majorGridlines>
          <c:spPr>
            <a:ln w="3175" cap="flat" cmpd="sng" algn="ctr">
              <a:solidFill>
                <a:srgbClr val="C0C0C0"/>
              </a:solidFill>
              <a:prstDash val="solid"/>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24406368"/>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strRef>
              <c:f>Charts!$AB$198</c:f>
              <c:strCache>
                <c:ptCount val="1"/>
                <c:pt idx="0">
                  <c:v>4Q24</c:v>
                </c:pt>
              </c:strCache>
            </c:strRef>
          </c:tx>
          <c:dPt>
            <c:idx val="0"/>
            <c:bubble3D val="0"/>
            <c:spPr>
              <a:pattFill prst="wdDnDiag">
                <a:fgClr>
                  <a:srgbClr val="000080"/>
                </a:fgClr>
                <a:bgClr>
                  <a:srgbClr val="000080"/>
                </a:bgClr>
              </a:pattFill>
              <a:ln w="25400">
                <a:noFill/>
              </a:ln>
              <a:effectLst/>
            </c:spPr>
            <c:extLst>
              <c:ext xmlns:c16="http://schemas.microsoft.com/office/drawing/2014/chart" uri="{C3380CC4-5D6E-409C-BE32-E72D297353CC}">
                <c16:uniqueId val="{00000001-CBEC-4C64-9599-709CA6968063}"/>
              </c:ext>
            </c:extLst>
          </c:dPt>
          <c:dPt>
            <c:idx val="1"/>
            <c:bubble3D val="0"/>
            <c:spPr>
              <a:pattFill prst="wdDnDiag">
                <a:fgClr>
                  <a:srgbClr val="9999FF"/>
                </a:fgClr>
                <a:bgClr>
                  <a:srgbClr val="9999FF"/>
                </a:bgClr>
              </a:pattFill>
              <a:ln w="25400">
                <a:noFill/>
              </a:ln>
              <a:effectLst/>
            </c:spPr>
            <c:extLst>
              <c:ext xmlns:c16="http://schemas.microsoft.com/office/drawing/2014/chart" uri="{C3380CC4-5D6E-409C-BE32-E72D297353CC}">
                <c16:uniqueId val="{00000002-CBEC-4C64-9599-709CA6968063}"/>
              </c:ext>
            </c:extLst>
          </c:dPt>
          <c:dPt>
            <c:idx val="2"/>
            <c:bubble3D val="0"/>
            <c:spPr>
              <a:pattFill prst="wdDnDiag">
                <a:fgClr>
                  <a:srgbClr val="3366FF"/>
                </a:fgClr>
                <a:bgClr>
                  <a:srgbClr val="3366FF"/>
                </a:bgClr>
              </a:pattFill>
              <a:ln w="25400">
                <a:noFill/>
              </a:ln>
              <a:effectLst/>
            </c:spPr>
            <c:extLst>
              <c:ext xmlns:c16="http://schemas.microsoft.com/office/drawing/2014/chart" uri="{C3380CC4-5D6E-409C-BE32-E72D297353CC}">
                <c16:uniqueId val="{00000003-CBEC-4C64-9599-709CA6968063}"/>
              </c:ext>
            </c:extLst>
          </c:dPt>
          <c:dPt>
            <c:idx val="3"/>
            <c:bubble3D val="0"/>
            <c:spPr>
              <a:pattFill prst="wdDnDiag">
                <a:fgClr>
                  <a:srgbClr val="CCCCFF"/>
                </a:fgClr>
                <a:bgClr>
                  <a:srgbClr val="CCCCFF"/>
                </a:bgClr>
              </a:pattFill>
              <a:ln w="25400">
                <a:noFill/>
              </a:ln>
              <a:effectLst/>
            </c:spPr>
            <c:extLst>
              <c:ext xmlns:c16="http://schemas.microsoft.com/office/drawing/2014/chart" uri="{C3380CC4-5D6E-409C-BE32-E72D297353CC}">
                <c16:uniqueId val="{00000004-CBEC-4C64-9599-709CA6968063}"/>
              </c:ext>
            </c:extLst>
          </c:dPt>
          <c:dPt>
            <c:idx val="4"/>
            <c:bubble3D val="0"/>
            <c:spPr>
              <a:pattFill prst="wdDnDiag">
                <a:fgClr>
                  <a:srgbClr val="969696"/>
                </a:fgClr>
                <a:bgClr>
                  <a:srgbClr val="969696"/>
                </a:bgClr>
              </a:pattFill>
              <a:ln w="25400">
                <a:noFill/>
              </a:ln>
              <a:effectLst/>
            </c:spPr>
            <c:extLst>
              <c:ext xmlns:c16="http://schemas.microsoft.com/office/drawing/2014/chart" uri="{C3380CC4-5D6E-409C-BE32-E72D297353CC}">
                <c16:uniqueId val="{00000005-CBEC-4C64-9599-709CA6968063}"/>
              </c:ext>
            </c:extLst>
          </c:dPt>
          <c:dPt>
            <c:idx val="5"/>
            <c:bubble3D val="0"/>
            <c:spPr>
              <a:pattFill prst="wdDnDiag">
                <a:fgClr>
                  <a:srgbClr val="C0C0C0"/>
                </a:fgClr>
                <a:bgClr>
                  <a:srgbClr val="C0C0C0"/>
                </a:bgClr>
              </a:pattFill>
              <a:ln w="25400">
                <a:noFill/>
              </a:ln>
              <a:effectLst/>
            </c:spPr>
            <c:extLst>
              <c:ext xmlns:c16="http://schemas.microsoft.com/office/drawing/2014/chart" uri="{C3380CC4-5D6E-409C-BE32-E72D297353CC}">
                <c16:uniqueId val="{00000006-CBEC-4C64-9599-709CA6968063}"/>
              </c:ext>
            </c:extLst>
          </c:dPt>
          <c:dPt>
            <c:idx val="6"/>
            <c:bubble3D val="0"/>
            <c:spPr>
              <a:pattFill prst="wdDnDiag">
                <a:fgClr>
                  <a:srgbClr val="0000FF"/>
                </a:fgClr>
                <a:bgClr>
                  <a:srgbClr val="0000FF"/>
                </a:bgClr>
              </a:pattFill>
              <a:ln w="25400">
                <a:noFill/>
              </a:ln>
              <a:effectLst/>
            </c:spPr>
            <c:extLst>
              <c:ext xmlns:c16="http://schemas.microsoft.com/office/drawing/2014/chart" uri="{C3380CC4-5D6E-409C-BE32-E72D297353CC}">
                <c16:uniqueId val="{00000007-CBEC-4C64-9599-709CA6968063}"/>
              </c:ext>
            </c:extLst>
          </c:dPt>
          <c:dPt>
            <c:idx val="7"/>
            <c:bubble3D val="0"/>
            <c:spPr>
              <a:pattFill prst="wdDnDiag">
                <a:fgClr>
                  <a:srgbClr val="333399"/>
                </a:fgClr>
                <a:bgClr>
                  <a:srgbClr val="333399"/>
                </a:bgClr>
              </a:pattFill>
              <a:ln w="25400">
                <a:noFill/>
              </a:ln>
              <a:effectLst/>
            </c:spPr>
            <c:extLst>
              <c:ext xmlns:c16="http://schemas.microsoft.com/office/drawing/2014/chart" uri="{C3380CC4-5D6E-409C-BE32-E72D297353CC}">
                <c16:uniqueId val="{00000008-CBEC-4C64-9599-709CA6968063}"/>
              </c:ext>
            </c:extLst>
          </c:dPt>
          <c:cat>
            <c:strRef>
              <c:f>Charts!$AA$199:$AA$206</c:f>
              <c:strCache>
                <c:ptCount val="8"/>
                <c:pt idx="0">
                  <c:v>Network costs % SR</c:v>
                </c:pt>
                <c:pt idx="1">
                  <c:v>Traffic costs % SR</c:v>
                </c:pt>
                <c:pt idx="2">
                  <c:v>Costs of sales % SR</c:v>
                </c:pt>
                <c:pt idx="3">
                  <c:v>Sales and Marketing % SR</c:v>
                </c:pt>
                <c:pt idx="4">
                  <c:v>Staff costs % SR</c:v>
                </c:pt>
                <c:pt idx="5">
                  <c:v>Operational and Maintenance % SR</c:v>
                </c:pt>
                <c:pt idx="6">
                  <c:v>USP Fund and Licence % SR</c:v>
                </c:pt>
                <c:pt idx="7">
                  <c:v>Other % SR</c:v>
                </c:pt>
              </c:strCache>
            </c:strRef>
          </c:cat>
          <c:val>
            <c:numRef>
              <c:f>Charts!$AB$199:$AB$206</c:f>
              <c:numCache>
                <c:formatCode>0.0%</c:formatCode>
                <c:ptCount val="8"/>
                <c:pt idx="0">
                  <c:v>8.7841456882699523E-2</c:v>
                </c:pt>
                <c:pt idx="1">
                  <c:v>0.63256561328334227</c:v>
                </c:pt>
                <c:pt idx="2">
                  <c:v>0</c:v>
                </c:pt>
                <c:pt idx="3">
                  <c:v>2.5709694697375468E-2</c:v>
                </c:pt>
                <c:pt idx="4">
                  <c:v>0.1205141938939475</c:v>
                </c:pt>
                <c:pt idx="5">
                  <c:v>6.5881092662024632E-2</c:v>
                </c:pt>
                <c:pt idx="6">
                  <c:v>0</c:v>
                </c:pt>
                <c:pt idx="7">
                  <c:v>0</c:v>
                </c:pt>
              </c:numCache>
            </c:numRef>
          </c:val>
          <c:extLst>
            <c:ext xmlns:c16="http://schemas.microsoft.com/office/drawing/2014/chart" uri="{C3380CC4-5D6E-409C-BE32-E72D297353CC}">
              <c16:uniqueId val="{00000000-CBEC-4C64-9599-709CA6968063}"/>
            </c:ext>
          </c:extLst>
        </c:ser>
        <c:dLbls>
          <c:showLegendKey val="0"/>
          <c:showVal val="0"/>
          <c:showCatName val="0"/>
          <c:showSerName val="0"/>
          <c:showPercent val="0"/>
          <c:showBubbleSize val="0"/>
          <c:showLeaderLines val="1"/>
        </c:dLbls>
        <c:firstSliceAng val="0"/>
      </c:pieChart>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Charts!$AA$210</c:f>
              <c:strCache>
                <c:ptCount val="1"/>
                <c:pt idx="0">
                  <c:v>Opex</c:v>
                </c:pt>
              </c:strCache>
            </c:strRef>
          </c:tx>
          <c:spPr>
            <a:solidFill>
              <a:srgbClr val="000080"/>
            </a:solidFill>
            <a:ln w="25400">
              <a:noFill/>
            </a:ln>
            <a:effectLst/>
          </c:spPr>
          <c:invertIfNegative val="0"/>
          <c:cat>
            <c:strRef>
              <c:f>Charts!$AB$209:$AU$209</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Charts!$AB$210:$AU$210</c:f>
              <c:numCache>
                <c:formatCode>#,##0_);\(#,##0\)</c:formatCode>
                <c:ptCount val="20"/>
                <c:pt idx="0">
                  <c:v>1379</c:v>
                </c:pt>
                <c:pt idx="1">
                  <c:v>1205</c:v>
                </c:pt>
                <c:pt idx="2">
                  <c:v>1246</c:v>
                </c:pt>
                <c:pt idx="3">
                  <c:v>1322</c:v>
                </c:pt>
                <c:pt idx="4">
                  <c:v>1279</c:v>
                </c:pt>
                <c:pt idx="5">
                  <c:v>1268</c:v>
                </c:pt>
                <c:pt idx="6">
                  <c:v>1294</c:v>
                </c:pt>
                <c:pt idx="7">
                  <c:v>1524</c:v>
                </c:pt>
                <c:pt idx="8">
                  <c:v>1479</c:v>
                </c:pt>
                <c:pt idx="9">
                  <c:v>1412</c:v>
                </c:pt>
                <c:pt idx="10">
                  <c:v>1401</c:v>
                </c:pt>
                <c:pt idx="11">
                  <c:v>1568</c:v>
                </c:pt>
                <c:pt idx="12">
                  <c:v>1554</c:v>
                </c:pt>
                <c:pt idx="13">
                  <c:v>1468</c:v>
                </c:pt>
                <c:pt idx="14">
                  <c:v>1513</c:v>
                </c:pt>
                <c:pt idx="15">
                  <c:v>1685</c:v>
                </c:pt>
                <c:pt idx="16">
                  <c:v>1559</c:v>
                </c:pt>
                <c:pt idx="17">
                  <c:v>1540</c:v>
                </c:pt>
                <c:pt idx="18">
                  <c:v>1528</c:v>
                </c:pt>
                <c:pt idx="19">
                  <c:v>1787</c:v>
                </c:pt>
              </c:numCache>
            </c:numRef>
          </c:val>
          <c:extLst>
            <c:ext xmlns:c16="http://schemas.microsoft.com/office/drawing/2014/chart" uri="{C3380CC4-5D6E-409C-BE32-E72D297353CC}">
              <c16:uniqueId val="{00000000-6DA3-4BBE-998B-7B57889A9DE6}"/>
            </c:ext>
          </c:extLst>
        </c:ser>
        <c:dLbls>
          <c:showLegendKey val="0"/>
          <c:showVal val="0"/>
          <c:showCatName val="0"/>
          <c:showSerName val="0"/>
          <c:showPercent val="0"/>
          <c:showBubbleSize val="0"/>
        </c:dLbls>
        <c:gapWidth val="219"/>
        <c:overlap val="-27"/>
        <c:axId val="624351736"/>
        <c:axId val="624350952"/>
      </c:barChart>
      <c:lineChart>
        <c:grouping val="standard"/>
        <c:varyColors val="0"/>
        <c:ser>
          <c:idx val="1"/>
          <c:order val="1"/>
          <c:tx>
            <c:strRef>
              <c:f>Charts!$AA$211</c:f>
              <c:strCache>
                <c:ptCount val="1"/>
                <c:pt idx="0">
                  <c:v>Opex growth (% YoY)</c:v>
                </c:pt>
              </c:strCache>
            </c:strRef>
          </c:tx>
          <c:spPr>
            <a:ln w="25400" cap="rnd">
              <a:solidFill>
                <a:srgbClr val="00B0F0"/>
              </a:solidFill>
              <a:prstDash val="solid"/>
              <a:round/>
            </a:ln>
            <a:effectLst/>
          </c:spPr>
          <c:marker>
            <c:symbol val="none"/>
          </c:marker>
          <c:cat>
            <c:strRef>
              <c:f>Charts!$AB$209:$AU$209</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Charts!$AB$211:$AU$211</c:f>
              <c:numCache>
                <c:formatCode>0.0%</c:formatCode>
                <c:ptCount val="20"/>
                <c:pt idx="0">
                  <c:v>0.11102423768569203</c:v>
                </c:pt>
                <c:pt idx="1">
                  <c:v>-8.7370929308975276E-3</c:v>
                </c:pt>
                <c:pt idx="2">
                  <c:v>-2.4224072672218044E-2</c:v>
                </c:pt>
                <c:pt idx="3">
                  <c:v>-0.19635258358662611</c:v>
                </c:pt>
                <c:pt idx="4">
                  <c:v>-7.2516316171138517E-2</c:v>
                </c:pt>
                <c:pt idx="5">
                  <c:v>5.2282157676348584E-2</c:v>
                </c:pt>
                <c:pt idx="6">
                  <c:v>3.8523274478330594E-2</c:v>
                </c:pt>
                <c:pt idx="7">
                  <c:v>0.15279878971255667</c:v>
                </c:pt>
                <c:pt idx="8">
                  <c:v>0.15637216575449564</c:v>
                </c:pt>
                <c:pt idx="9">
                  <c:v>0.11356466876971605</c:v>
                </c:pt>
                <c:pt idx="10">
                  <c:v>8.2689335394126706E-2</c:v>
                </c:pt>
                <c:pt idx="11">
                  <c:v>2.8871391076115582E-2</c:v>
                </c:pt>
                <c:pt idx="12">
                  <c:v>5.070993914807298E-2</c:v>
                </c:pt>
                <c:pt idx="13">
                  <c:v>3.966005665722383E-2</c:v>
                </c:pt>
                <c:pt idx="14">
                  <c:v>7.994289793005005E-2</c:v>
                </c:pt>
                <c:pt idx="15">
                  <c:v>7.461734693877542E-2</c:v>
                </c:pt>
                <c:pt idx="16">
                  <c:v>3.2175032175032481E-3</c:v>
                </c:pt>
                <c:pt idx="17">
                  <c:v>4.9046321525885617E-2</c:v>
                </c:pt>
                <c:pt idx="18">
                  <c:v>9.9140779907469501E-3</c:v>
                </c:pt>
                <c:pt idx="19">
                  <c:v>6.0534124629080033E-2</c:v>
                </c:pt>
              </c:numCache>
            </c:numRef>
          </c:val>
          <c:smooth val="0"/>
          <c:extLst>
            <c:ext xmlns:c16="http://schemas.microsoft.com/office/drawing/2014/chart" uri="{C3380CC4-5D6E-409C-BE32-E72D297353CC}">
              <c16:uniqueId val="{00000001-6DA3-4BBE-998B-7B57889A9DE6}"/>
            </c:ext>
          </c:extLst>
        </c:ser>
        <c:dLbls>
          <c:showLegendKey val="0"/>
          <c:showVal val="0"/>
          <c:showCatName val="0"/>
          <c:showSerName val="0"/>
          <c:showPercent val="0"/>
          <c:showBubbleSize val="0"/>
        </c:dLbls>
        <c:marker val="1"/>
        <c:smooth val="0"/>
        <c:axId val="624350168"/>
        <c:axId val="624349384"/>
      </c:lineChart>
      <c:catAx>
        <c:axId val="624351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24350952"/>
        <c:crosses val="autoZero"/>
        <c:auto val="1"/>
        <c:lblAlgn val="ctr"/>
        <c:lblOffset val="100"/>
        <c:noMultiLvlLbl val="0"/>
      </c:catAx>
      <c:valAx>
        <c:axId val="624350952"/>
        <c:scaling>
          <c:orientation val="minMax"/>
        </c:scaling>
        <c:delete val="0"/>
        <c:axPos val="l"/>
        <c:majorGridlines>
          <c:spPr>
            <a:ln w="3175" cap="flat" cmpd="sng" algn="ctr">
              <a:solidFill>
                <a:srgbClr val="C0C0C0"/>
              </a:solidFill>
              <a:prstDash val="solid"/>
              <a:round/>
            </a:ln>
            <a:effectLst/>
          </c:spPr>
        </c:majorGridlines>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24351736"/>
        <c:crosses val="autoZero"/>
        <c:crossBetween val="between"/>
      </c:valAx>
      <c:valAx>
        <c:axId val="624349384"/>
        <c:scaling>
          <c:orientation val="minMax"/>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24350168"/>
        <c:crosses val="max"/>
        <c:crossBetween val="between"/>
      </c:valAx>
      <c:catAx>
        <c:axId val="624350168"/>
        <c:scaling>
          <c:orientation val="minMax"/>
        </c:scaling>
        <c:delete val="1"/>
        <c:axPos val="b"/>
        <c:numFmt formatCode="General" sourceLinked="1"/>
        <c:majorTickMark val="out"/>
        <c:minorTickMark val="none"/>
        <c:tickLblPos val="nextTo"/>
        <c:crossAx val="624349384"/>
        <c:crosses val="autoZero"/>
        <c:auto val="1"/>
        <c:lblAlgn val="ctr"/>
        <c:lblOffset val="100"/>
        <c:noMultiLvlLbl val="0"/>
      </c:cat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percentStacked"/>
        <c:varyColors val="0"/>
        <c:ser>
          <c:idx val="0"/>
          <c:order val="0"/>
          <c:tx>
            <c:strRef>
              <c:f>Charts!$AA$217</c:f>
              <c:strCache>
                <c:ptCount val="1"/>
                <c:pt idx="0">
                  <c:v>Network costs % SR</c:v>
                </c:pt>
              </c:strCache>
            </c:strRef>
          </c:tx>
          <c:spPr>
            <a:solidFill>
              <a:srgbClr val="000080"/>
            </a:solidFill>
            <a:ln w="25400">
              <a:noFill/>
            </a:ln>
            <a:effectLst/>
          </c:spPr>
          <c:cat>
            <c:strRef>
              <c:f>Charts!$AH$216:$AU$216</c:f>
              <c:strCache>
                <c:ptCount val="14"/>
                <c:pt idx="0">
                  <c:v>3Q21</c:v>
                </c:pt>
                <c:pt idx="1">
                  <c:v>4Q21</c:v>
                </c:pt>
                <c:pt idx="2">
                  <c:v>1Q22</c:v>
                </c:pt>
                <c:pt idx="3">
                  <c:v>2Q22</c:v>
                </c:pt>
                <c:pt idx="4">
                  <c:v>3Q22</c:v>
                </c:pt>
                <c:pt idx="5">
                  <c:v>4Q22</c:v>
                </c:pt>
                <c:pt idx="6">
                  <c:v>1Q23</c:v>
                </c:pt>
                <c:pt idx="7">
                  <c:v>2Q23</c:v>
                </c:pt>
                <c:pt idx="8">
                  <c:v>3Q23</c:v>
                </c:pt>
                <c:pt idx="9">
                  <c:v>4Q23</c:v>
                </c:pt>
                <c:pt idx="10">
                  <c:v>1Q24</c:v>
                </c:pt>
                <c:pt idx="11">
                  <c:v>2Q24</c:v>
                </c:pt>
                <c:pt idx="12">
                  <c:v>3Q24</c:v>
                </c:pt>
                <c:pt idx="13">
                  <c:v>4Q24</c:v>
                </c:pt>
              </c:strCache>
            </c:strRef>
          </c:cat>
          <c:val>
            <c:numRef>
              <c:f>Charts!$AH$217:$AU$217</c:f>
              <c:numCache>
                <c:formatCode>0.0%</c:formatCode>
                <c:ptCount val="14"/>
                <c:pt idx="0">
                  <c:v>7.2886297376093298E-2</c:v>
                </c:pt>
                <c:pt idx="1">
                  <c:v>7.1087216248506571E-2</c:v>
                </c:pt>
                <c:pt idx="2">
                  <c:v>7.7738515901060068E-2</c:v>
                </c:pt>
                <c:pt idx="3">
                  <c:v>7.6659038901601834E-2</c:v>
                </c:pt>
                <c:pt idx="4">
                  <c:v>7.296380090497738E-2</c:v>
                </c:pt>
                <c:pt idx="5">
                  <c:v>6.8600111544896827E-2</c:v>
                </c:pt>
                <c:pt idx="6">
                  <c:v>7.73542600896861E-2</c:v>
                </c:pt>
                <c:pt idx="7">
                  <c:v>8.0944350758853284E-2</c:v>
                </c:pt>
                <c:pt idx="8">
                  <c:v>7.6965669988925803E-2</c:v>
                </c:pt>
                <c:pt idx="9">
                  <c:v>7.3872895165670832E-2</c:v>
                </c:pt>
                <c:pt idx="10">
                  <c:v>7.5040783034257749E-2</c:v>
                </c:pt>
                <c:pt idx="11">
                  <c:v>7.5175770686857754E-2</c:v>
                </c:pt>
                <c:pt idx="12">
                  <c:v>8.0410145709660014E-2</c:v>
                </c:pt>
                <c:pt idx="13">
                  <c:v>8.7841456882699523E-2</c:v>
                </c:pt>
              </c:numCache>
            </c:numRef>
          </c:val>
          <c:extLst>
            <c:ext xmlns:c16="http://schemas.microsoft.com/office/drawing/2014/chart" uri="{C3380CC4-5D6E-409C-BE32-E72D297353CC}">
              <c16:uniqueId val="{00000000-3DDD-4B66-B2BB-0ECAC1D10DF7}"/>
            </c:ext>
          </c:extLst>
        </c:ser>
        <c:ser>
          <c:idx val="1"/>
          <c:order val="1"/>
          <c:tx>
            <c:strRef>
              <c:f>Charts!$AA$218</c:f>
              <c:strCache>
                <c:ptCount val="1"/>
                <c:pt idx="0">
                  <c:v>Traffic costs % SR</c:v>
                </c:pt>
              </c:strCache>
            </c:strRef>
          </c:tx>
          <c:spPr>
            <a:solidFill>
              <a:srgbClr val="9999FF"/>
            </a:solidFill>
            <a:ln w="25400">
              <a:noFill/>
            </a:ln>
            <a:effectLst/>
          </c:spPr>
          <c:cat>
            <c:strRef>
              <c:f>Charts!$AH$216:$AU$216</c:f>
              <c:strCache>
                <c:ptCount val="14"/>
                <c:pt idx="0">
                  <c:v>3Q21</c:v>
                </c:pt>
                <c:pt idx="1">
                  <c:v>4Q21</c:v>
                </c:pt>
                <c:pt idx="2">
                  <c:v>1Q22</c:v>
                </c:pt>
                <c:pt idx="3">
                  <c:v>2Q22</c:v>
                </c:pt>
                <c:pt idx="4">
                  <c:v>3Q22</c:v>
                </c:pt>
                <c:pt idx="5">
                  <c:v>4Q22</c:v>
                </c:pt>
                <c:pt idx="6">
                  <c:v>1Q23</c:v>
                </c:pt>
                <c:pt idx="7">
                  <c:v>2Q23</c:v>
                </c:pt>
                <c:pt idx="8">
                  <c:v>3Q23</c:v>
                </c:pt>
                <c:pt idx="9">
                  <c:v>4Q23</c:v>
                </c:pt>
                <c:pt idx="10">
                  <c:v>1Q24</c:v>
                </c:pt>
                <c:pt idx="11">
                  <c:v>2Q24</c:v>
                </c:pt>
                <c:pt idx="12">
                  <c:v>3Q24</c:v>
                </c:pt>
                <c:pt idx="13">
                  <c:v>4Q24</c:v>
                </c:pt>
              </c:strCache>
            </c:strRef>
          </c:cat>
          <c:val>
            <c:numRef>
              <c:f>Charts!$AH$218:$AU$218</c:f>
              <c:numCache>
                <c:formatCode>0.0%</c:formatCode>
                <c:ptCount val="14"/>
                <c:pt idx="0">
                  <c:v>0.30087463556851313</c:v>
                </c:pt>
                <c:pt idx="1">
                  <c:v>0.28494623655913981</c:v>
                </c:pt>
                <c:pt idx="2">
                  <c:v>0.28268551236749118</c:v>
                </c:pt>
                <c:pt idx="3">
                  <c:v>0.290045766590389</c:v>
                </c:pt>
                <c:pt idx="4">
                  <c:v>0.2895927601809955</c:v>
                </c:pt>
                <c:pt idx="5">
                  <c:v>0.27718906860011155</c:v>
                </c:pt>
                <c:pt idx="6">
                  <c:v>0.27017937219730942</c:v>
                </c:pt>
                <c:pt idx="7">
                  <c:v>0.27093872962338394</c:v>
                </c:pt>
                <c:pt idx="8">
                  <c:v>0.26688815060908083</c:v>
                </c:pt>
                <c:pt idx="9">
                  <c:v>0.63824008690928846</c:v>
                </c:pt>
                <c:pt idx="10">
                  <c:v>0.56389342033713974</c:v>
                </c:pt>
                <c:pt idx="11">
                  <c:v>0.5386695511087074</c:v>
                </c:pt>
                <c:pt idx="12">
                  <c:v>0.52401511063140849</c:v>
                </c:pt>
                <c:pt idx="13">
                  <c:v>0.63256561328334227</c:v>
                </c:pt>
              </c:numCache>
            </c:numRef>
          </c:val>
          <c:extLst>
            <c:ext xmlns:c16="http://schemas.microsoft.com/office/drawing/2014/chart" uri="{C3380CC4-5D6E-409C-BE32-E72D297353CC}">
              <c16:uniqueId val="{00000001-3DDD-4B66-B2BB-0ECAC1D10DF7}"/>
            </c:ext>
          </c:extLst>
        </c:ser>
        <c:ser>
          <c:idx val="2"/>
          <c:order val="2"/>
          <c:tx>
            <c:strRef>
              <c:f>Charts!$AA$219</c:f>
              <c:strCache>
                <c:ptCount val="1"/>
                <c:pt idx="0">
                  <c:v>Sales and Marketing % SR</c:v>
                </c:pt>
              </c:strCache>
            </c:strRef>
          </c:tx>
          <c:spPr>
            <a:solidFill>
              <a:srgbClr val="3366FF"/>
            </a:solidFill>
            <a:ln w="25400">
              <a:noFill/>
            </a:ln>
            <a:effectLst/>
          </c:spPr>
          <c:cat>
            <c:strRef>
              <c:f>Charts!$AH$216:$AU$216</c:f>
              <c:strCache>
                <c:ptCount val="14"/>
                <c:pt idx="0">
                  <c:v>3Q21</c:v>
                </c:pt>
                <c:pt idx="1">
                  <c:v>4Q21</c:v>
                </c:pt>
                <c:pt idx="2">
                  <c:v>1Q22</c:v>
                </c:pt>
                <c:pt idx="3">
                  <c:v>2Q22</c:v>
                </c:pt>
                <c:pt idx="4">
                  <c:v>3Q22</c:v>
                </c:pt>
                <c:pt idx="5">
                  <c:v>4Q22</c:v>
                </c:pt>
                <c:pt idx="6">
                  <c:v>1Q23</c:v>
                </c:pt>
                <c:pt idx="7">
                  <c:v>2Q23</c:v>
                </c:pt>
                <c:pt idx="8">
                  <c:v>3Q23</c:v>
                </c:pt>
                <c:pt idx="9">
                  <c:v>4Q23</c:v>
                </c:pt>
                <c:pt idx="10">
                  <c:v>1Q24</c:v>
                </c:pt>
                <c:pt idx="11">
                  <c:v>2Q24</c:v>
                </c:pt>
                <c:pt idx="12">
                  <c:v>3Q24</c:v>
                </c:pt>
                <c:pt idx="13">
                  <c:v>4Q24</c:v>
                </c:pt>
              </c:strCache>
            </c:strRef>
          </c:cat>
          <c:val>
            <c:numRef>
              <c:f>Charts!$AH$219:$AU$219</c:f>
              <c:numCache>
                <c:formatCode>0.0%</c:formatCode>
                <c:ptCount val="14"/>
                <c:pt idx="0">
                  <c:v>2.8571428571428571E-2</c:v>
                </c:pt>
                <c:pt idx="1">
                  <c:v>2.8673835125448029E-2</c:v>
                </c:pt>
                <c:pt idx="2">
                  <c:v>2.2968197879858657E-2</c:v>
                </c:pt>
                <c:pt idx="3">
                  <c:v>2.8604118993135013E-2</c:v>
                </c:pt>
                <c:pt idx="4">
                  <c:v>2.7149321266968326E-2</c:v>
                </c:pt>
                <c:pt idx="5">
                  <c:v>2.9001673173452314E-2</c:v>
                </c:pt>
                <c:pt idx="6">
                  <c:v>2.1300448430493273E-2</c:v>
                </c:pt>
                <c:pt idx="7">
                  <c:v>2.417088251826869E-2</c:v>
                </c:pt>
                <c:pt idx="8">
                  <c:v>2.4363233665559248E-2</c:v>
                </c:pt>
                <c:pt idx="9">
                  <c:v>2.0640956002172733E-2</c:v>
                </c:pt>
                <c:pt idx="10">
                  <c:v>2.1207177814029365E-2</c:v>
                </c:pt>
                <c:pt idx="11">
                  <c:v>2.5419145484045429E-2</c:v>
                </c:pt>
                <c:pt idx="12">
                  <c:v>2.3205612520237454E-2</c:v>
                </c:pt>
                <c:pt idx="13">
                  <c:v>2.5709694697375468E-2</c:v>
                </c:pt>
              </c:numCache>
            </c:numRef>
          </c:val>
          <c:extLst>
            <c:ext xmlns:c16="http://schemas.microsoft.com/office/drawing/2014/chart" uri="{C3380CC4-5D6E-409C-BE32-E72D297353CC}">
              <c16:uniqueId val="{00000002-3DDD-4B66-B2BB-0ECAC1D10DF7}"/>
            </c:ext>
          </c:extLst>
        </c:ser>
        <c:ser>
          <c:idx val="3"/>
          <c:order val="3"/>
          <c:tx>
            <c:strRef>
              <c:f>Charts!$AA$220</c:f>
              <c:strCache>
                <c:ptCount val="1"/>
                <c:pt idx="0">
                  <c:v>Staff costs % SR</c:v>
                </c:pt>
              </c:strCache>
            </c:strRef>
          </c:tx>
          <c:spPr>
            <a:solidFill>
              <a:srgbClr val="CCCCFF"/>
            </a:solidFill>
            <a:ln w="25400">
              <a:noFill/>
            </a:ln>
            <a:effectLst/>
          </c:spPr>
          <c:cat>
            <c:strRef>
              <c:f>Charts!$AH$216:$AU$216</c:f>
              <c:strCache>
                <c:ptCount val="14"/>
                <c:pt idx="0">
                  <c:v>3Q21</c:v>
                </c:pt>
                <c:pt idx="1">
                  <c:v>4Q21</c:v>
                </c:pt>
                <c:pt idx="2">
                  <c:v>1Q22</c:v>
                </c:pt>
                <c:pt idx="3">
                  <c:v>2Q22</c:v>
                </c:pt>
                <c:pt idx="4">
                  <c:v>3Q22</c:v>
                </c:pt>
                <c:pt idx="5">
                  <c:v>4Q22</c:v>
                </c:pt>
                <c:pt idx="6">
                  <c:v>1Q23</c:v>
                </c:pt>
                <c:pt idx="7">
                  <c:v>2Q23</c:v>
                </c:pt>
                <c:pt idx="8">
                  <c:v>3Q23</c:v>
                </c:pt>
                <c:pt idx="9">
                  <c:v>4Q23</c:v>
                </c:pt>
                <c:pt idx="10">
                  <c:v>1Q24</c:v>
                </c:pt>
                <c:pt idx="11">
                  <c:v>2Q24</c:v>
                </c:pt>
                <c:pt idx="12">
                  <c:v>3Q24</c:v>
                </c:pt>
                <c:pt idx="13">
                  <c:v>4Q24</c:v>
                </c:pt>
              </c:strCache>
            </c:strRef>
          </c:cat>
          <c:val>
            <c:numRef>
              <c:f>Charts!$AH$220:$AU$220</c:f>
              <c:numCache>
                <c:formatCode>0.0%</c:formatCode>
                <c:ptCount val="14"/>
                <c:pt idx="0">
                  <c:v>0.10670553935860058</c:v>
                </c:pt>
                <c:pt idx="1">
                  <c:v>0.11409796893667862</c:v>
                </c:pt>
                <c:pt idx="2">
                  <c:v>0.12367491166077739</c:v>
                </c:pt>
                <c:pt idx="3">
                  <c:v>0.11098398169336385</c:v>
                </c:pt>
                <c:pt idx="4">
                  <c:v>0.10916289592760181</c:v>
                </c:pt>
                <c:pt idx="5">
                  <c:v>0.12046848856664807</c:v>
                </c:pt>
                <c:pt idx="6">
                  <c:v>0.11210762331838565</c:v>
                </c:pt>
                <c:pt idx="7">
                  <c:v>0.1135469364811692</c:v>
                </c:pt>
                <c:pt idx="8">
                  <c:v>0.15337763012181616</c:v>
                </c:pt>
                <c:pt idx="9">
                  <c:v>0.10917979359043997</c:v>
                </c:pt>
                <c:pt idx="10">
                  <c:v>0.10984230560087004</c:v>
                </c:pt>
                <c:pt idx="11">
                  <c:v>0.11249323958896701</c:v>
                </c:pt>
                <c:pt idx="12">
                  <c:v>0.11009174311926606</c:v>
                </c:pt>
                <c:pt idx="13">
                  <c:v>0.1205141938939475</c:v>
                </c:pt>
              </c:numCache>
            </c:numRef>
          </c:val>
          <c:extLst>
            <c:ext xmlns:c16="http://schemas.microsoft.com/office/drawing/2014/chart" uri="{C3380CC4-5D6E-409C-BE32-E72D297353CC}">
              <c16:uniqueId val="{00000003-3DDD-4B66-B2BB-0ECAC1D10DF7}"/>
            </c:ext>
          </c:extLst>
        </c:ser>
        <c:ser>
          <c:idx val="4"/>
          <c:order val="4"/>
          <c:tx>
            <c:strRef>
              <c:f>Charts!$AA$221</c:f>
              <c:strCache>
                <c:ptCount val="1"/>
                <c:pt idx="0">
                  <c:v>Operational and Maintenance % SR</c:v>
                </c:pt>
              </c:strCache>
            </c:strRef>
          </c:tx>
          <c:spPr>
            <a:solidFill>
              <a:srgbClr val="969696"/>
            </a:solidFill>
            <a:ln w="25400">
              <a:noFill/>
            </a:ln>
            <a:effectLst/>
          </c:spPr>
          <c:cat>
            <c:strRef>
              <c:f>Charts!$AH$216:$AU$216</c:f>
              <c:strCache>
                <c:ptCount val="14"/>
                <c:pt idx="0">
                  <c:v>3Q21</c:v>
                </c:pt>
                <c:pt idx="1">
                  <c:v>4Q21</c:v>
                </c:pt>
                <c:pt idx="2">
                  <c:v>1Q22</c:v>
                </c:pt>
                <c:pt idx="3">
                  <c:v>2Q22</c:v>
                </c:pt>
                <c:pt idx="4">
                  <c:v>3Q22</c:v>
                </c:pt>
                <c:pt idx="5">
                  <c:v>4Q22</c:v>
                </c:pt>
                <c:pt idx="6">
                  <c:v>1Q23</c:v>
                </c:pt>
                <c:pt idx="7">
                  <c:v>2Q23</c:v>
                </c:pt>
                <c:pt idx="8">
                  <c:v>3Q23</c:v>
                </c:pt>
                <c:pt idx="9">
                  <c:v>4Q23</c:v>
                </c:pt>
                <c:pt idx="10">
                  <c:v>1Q24</c:v>
                </c:pt>
                <c:pt idx="11">
                  <c:v>2Q24</c:v>
                </c:pt>
                <c:pt idx="12">
                  <c:v>3Q24</c:v>
                </c:pt>
                <c:pt idx="13">
                  <c:v>4Q24</c:v>
                </c:pt>
              </c:strCache>
            </c:strRef>
          </c:cat>
          <c:val>
            <c:numRef>
              <c:f>Charts!$AH$221:$AU$221</c:f>
              <c:numCache>
                <c:formatCode>0.0%</c:formatCode>
                <c:ptCount val="14"/>
                <c:pt idx="0">
                  <c:v>5.9475218658892132E-2</c:v>
                </c:pt>
                <c:pt idx="1">
                  <c:v>6.8100358422939072E-2</c:v>
                </c:pt>
                <c:pt idx="2">
                  <c:v>5.1236749116607777E-2</c:v>
                </c:pt>
                <c:pt idx="3">
                  <c:v>5.4919908466819219E-2</c:v>
                </c:pt>
                <c:pt idx="4">
                  <c:v>5.7692307692307696E-2</c:v>
                </c:pt>
                <c:pt idx="5">
                  <c:v>6.0791968767428893E-2</c:v>
                </c:pt>
                <c:pt idx="6">
                  <c:v>5.9417040358744393E-2</c:v>
                </c:pt>
                <c:pt idx="7">
                  <c:v>5.2838673412029233E-2</c:v>
                </c:pt>
                <c:pt idx="8">
                  <c:v>5.647840531561462E-2</c:v>
                </c:pt>
                <c:pt idx="9">
                  <c:v>6.8441064638783272E-2</c:v>
                </c:pt>
                <c:pt idx="10">
                  <c:v>5.5464926590538338E-2</c:v>
                </c:pt>
                <c:pt idx="11">
                  <c:v>5.8950784207679824E-2</c:v>
                </c:pt>
                <c:pt idx="12">
                  <c:v>6.9077172153264976E-2</c:v>
                </c:pt>
                <c:pt idx="13">
                  <c:v>6.5881092662024632E-2</c:v>
                </c:pt>
              </c:numCache>
            </c:numRef>
          </c:val>
          <c:extLst>
            <c:ext xmlns:c16="http://schemas.microsoft.com/office/drawing/2014/chart" uri="{C3380CC4-5D6E-409C-BE32-E72D297353CC}">
              <c16:uniqueId val="{00000004-3DDD-4B66-B2BB-0ECAC1D10DF7}"/>
            </c:ext>
          </c:extLst>
        </c:ser>
        <c:ser>
          <c:idx val="5"/>
          <c:order val="5"/>
          <c:tx>
            <c:strRef>
              <c:f>Charts!$AA$222</c:f>
              <c:strCache>
                <c:ptCount val="1"/>
                <c:pt idx="0">
                  <c:v>USP Fund and Licence % SR</c:v>
                </c:pt>
              </c:strCache>
            </c:strRef>
          </c:tx>
          <c:spPr>
            <a:solidFill>
              <a:srgbClr val="C0C0C0"/>
            </a:solidFill>
            <a:ln w="25400">
              <a:noFill/>
            </a:ln>
            <a:effectLst/>
          </c:spPr>
          <c:cat>
            <c:strRef>
              <c:f>Charts!$AH$216:$AU$216</c:f>
              <c:strCache>
                <c:ptCount val="14"/>
                <c:pt idx="0">
                  <c:v>3Q21</c:v>
                </c:pt>
                <c:pt idx="1">
                  <c:v>4Q21</c:v>
                </c:pt>
                <c:pt idx="2">
                  <c:v>1Q22</c:v>
                </c:pt>
                <c:pt idx="3">
                  <c:v>2Q22</c:v>
                </c:pt>
                <c:pt idx="4">
                  <c:v>3Q22</c:v>
                </c:pt>
                <c:pt idx="5">
                  <c:v>4Q22</c:v>
                </c:pt>
                <c:pt idx="6">
                  <c:v>1Q23</c:v>
                </c:pt>
                <c:pt idx="7">
                  <c:v>2Q23</c:v>
                </c:pt>
                <c:pt idx="8">
                  <c:v>3Q23</c:v>
                </c:pt>
                <c:pt idx="9">
                  <c:v>4Q23</c:v>
                </c:pt>
                <c:pt idx="10">
                  <c:v>1Q24</c:v>
                </c:pt>
                <c:pt idx="11">
                  <c:v>2Q24</c:v>
                </c:pt>
                <c:pt idx="12">
                  <c:v>3Q24</c:v>
                </c:pt>
                <c:pt idx="13">
                  <c:v>4Q24</c:v>
                </c:pt>
              </c:strCache>
            </c:strRef>
          </c:cat>
          <c:val>
            <c:numRef>
              <c:f>Charts!$AH$222:$AU$222</c:f>
              <c:numCache>
                <c:formatCode>0.0%</c:formatCode>
                <c:ptCount val="14"/>
                <c:pt idx="0">
                  <c:v>3.0903790087463558E-2</c:v>
                </c:pt>
                <c:pt idx="1">
                  <c:v>3.3452807646356032E-2</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5-3DDD-4B66-B2BB-0ECAC1D10DF7}"/>
            </c:ext>
          </c:extLst>
        </c:ser>
        <c:dLbls>
          <c:showLegendKey val="0"/>
          <c:showVal val="0"/>
          <c:showCatName val="0"/>
          <c:showSerName val="0"/>
          <c:showPercent val="0"/>
          <c:showBubbleSize val="0"/>
        </c:dLbls>
        <c:axId val="624349776"/>
        <c:axId val="624348208"/>
      </c:areaChart>
      <c:catAx>
        <c:axId val="62434977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24348208"/>
        <c:crosses val="autoZero"/>
        <c:auto val="1"/>
        <c:lblAlgn val="ctr"/>
        <c:lblOffset val="100"/>
        <c:noMultiLvlLbl val="0"/>
      </c:catAx>
      <c:valAx>
        <c:axId val="624348208"/>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24349776"/>
        <c:crosses val="autoZero"/>
        <c:crossBetween val="midCat"/>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Charts!$AA$228</c:f>
              <c:strCache>
                <c:ptCount val="1"/>
                <c:pt idx="0">
                  <c:v>Traffic costs % SR</c:v>
                </c:pt>
              </c:strCache>
            </c:strRef>
          </c:tx>
          <c:spPr>
            <a:solidFill>
              <a:srgbClr val="000080"/>
            </a:solidFill>
            <a:ln w="25400">
              <a:noFill/>
            </a:ln>
            <a:effectLst/>
          </c:spPr>
          <c:invertIfNegative val="0"/>
          <c:cat>
            <c:strRef>
              <c:f>Charts!$AB$227:$AU$227</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Charts!$AB$228:$AU$228</c:f>
              <c:numCache>
                <c:formatCode>0.0%</c:formatCode>
                <c:ptCount val="20"/>
                <c:pt idx="0">
                  <c:v>0.50412249705535928</c:v>
                </c:pt>
                <c:pt idx="1">
                  <c:v>0.39156626506024095</c:v>
                </c:pt>
                <c:pt idx="2">
                  <c:v>0.45845786013150031</c:v>
                </c:pt>
                <c:pt idx="3">
                  <c:v>0.52555622369212263</c:v>
                </c:pt>
                <c:pt idx="4">
                  <c:v>0.27884615384615385</c:v>
                </c:pt>
                <c:pt idx="5">
                  <c:v>0.26852400711321872</c:v>
                </c:pt>
                <c:pt idx="6">
                  <c:v>0.30087463556851313</c:v>
                </c:pt>
                <c:pt idx="7">
                  <c:v>0.28494623655913981</c:v>
                </c:pt>
                <c:pt idx="8">
                  <c:v>0.28268551236749118</c:v>
                </c:pt>
                <c:pt idx="9">
                  <c:v>0.290045766590389</c:v>
                </c:pt>
                <c:pt idx="10">
                  <c:v>0.2895927601809955</c:v>
                </c:pt>
                <c:pt idx="11">
                  <c:v>0.27718906860011155</c:v>
                </c:pt>
                <c:pt idx="12">
                  <c:v>0.27017937219730942</c:v>
                </c:pt>
                <c:pt idx="13">
                  <c:v>0.27093872962338394</c:v>
                </c:pt>
                <c:pt idx="14">
                  <c:v>0.26688815060908083</c:v>
                </c:pt>
                <c:pt idx="15">
                  <c:v>0.63824008690928846</c:v>
                </c:pt>
                <c:pt idx="16">
                  <c:v>0.56389342033713974</c:v>
                </c:pt>
                <c:pt idx="17">
                  <c:v>0.5386695511087074</c:v>
                </c:pt>
                <c:pt idx="18">
                  <c:v>0.52401511063140849</c:v>
                </c:pt>
                <c:pt idx="19">
                  <c:v>0.63256561328334227</c:v>
                </c:pt>
              </c:numCache>
            </c:numRef>
          </c:val>
          <c:extLst>
            <c:ext xmlns:c16="http://schemas.microsoft.com/office/drawing/2014/chart" uri="{C3380CC4-5D6E-409C-BE32-E72D297353CC}">
              <c16:uniqueId val="{00000000-EA91-4DBC-9F9F-39C385307EA9}"/>
            </c:ext>
          </c:extLst>
        </c:ser>
        <c:dLbls>
          <c:showLegendKey val="0"/>
          <c:showVal val="0"/>
          <c:showCatName val="0"/>
          <c:showSerName val="0"/>
          <c:showPercent val="0"/>
          <c:showBubbleSize val="0"/>
        </c:dLbls>
        <c:gapWidth val="219"/>
        <c:overlap val="-27"/>
        <c:axId val="625918136"/>
        <c:axId val="625918920"/>
      </c:barChart>
      <c:catAx>
        <c:axId val="625918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25918920"/>
        <c:crosses val="autoZero"/>
        <c:auto val="1"/>
        <c:lblAlgn val="ctr"/>
        <c:lblOffset val="100"/>
        <c:noMultiLvlLbl val="0"/>
      </c:catAx>
      <c:valAx>
        <c:axId val="625918920"/>
        <c:scaling>
          <c:orientation val="minMax"/>
        </c:scaling>
        <c:delete val="0"/>
        <c:axPos val="l"/>
        <c:majorGridlines>
          <c:spPr>
            <a:ln w="3175" cap="flat" cmpd="sng" algn="ctr">
              <a:solidFill>
                <a:srgbClr val="C0C0C0"/>
              </a:solidFill>
              <a:prstDash val="solid"/>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25918136"/>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Charts!$AA$237</c:f>
              <c:strCache>
                <c:ptCount val="1"/>
                <c:pt idx="0">
                  <c:v>Sales and Marketing % SR</c:v>
                </c:pt>
              </c:strCache>
            </c:strRef>
          </c:tx>
          <c:spPr>
            <a:solidFill>
              <a:srgbClr val="000080"/>
            </a:solidFill>
            <a:ln w="25400">
              <a:noFill/>
            </a:ln>
            <a:effectLst/>
          </c:spPr>
          <c:invertIfNegative val="0"/>
          <c:cat>
            <c:strRef>
              <c:f>Charts!$AB$236:$AU$236</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Charts!$AB$237:$AU$237</c:f>
              <c:numCache>
                <c:formatCode>0.0%</c:formatCode>
                <c:ptCount val="20"/>
                <c:pt idx="0">
                  <c:v>2.3557126030624265E-2</c:v>
                </c:pt>
                <c:pt idx="1">
                  <c:v>1.8072289156626505E-2</c:v>
                </c:pt>
                <c:pt idx="2">
                  <c:v>2.7495517035265989E-2</c:v>
                </c:pt>
                <c:pt idx="3">
                  <c:v>1.5634395670475046E-2</c:v>
                </c:pt>
                <c:pt idx="4">
                  <c:v>2.4639423076923076E-2</c:v>
                </c:pt>
                <c:pt idx="5">
                  <c:v>2.4896265560165973E-2</c:v>
                </c:pt>
                <c:pt idx="6">
                  <c:v>2.8571428571428571E-2</c:v>
                </c:pt>
                <c:pt idx="7">
                  <c:v>2.8673835125448029E-2</c:v>
                </c:pt>
                <c:pt idx="8">
                  <c:v>2.2968197879858657E-2</c:v>
                </c:pt>
                <c:pt idx="9">
                  <c:v>2.8604118993135013E-2</c:v>
                </c:pt>
                <c:pt idx="10">
                  <c:v>2.7149321266968326E-2</c:v>
                </c:pt>
                <c:pt idx="11">
                  <c:v>2.9001673173452314E-2</c:v>
                </c:pt>
                <c:pt idx="12">
                  <c:v>2.1300448430493273E-2</c:v>
                </c:pt>
                <c:pt idx="13">
                  <c:v>2.417088251826869E-2</c:v>
                </c:pt>
                <c:pt idx="14">
                  <c:v>2.4363233665559248E-2</c:v>
                </c:pt>
                <c:pt idx="15">
                  <c:v>2.0640956002172733E-2</c:v>
                </c:pt>
                <c:pt idx="16">
                  <c:v>2.1207177814029365E-2</c:v>
                </c:pt>
                <c:pt idx="17">
                  <c:v>2.5419145484045429E-2</c:v>
                </c:pt>
                <c:pt idx="18">
                  <c:v>2.3205612520237454E-2</c:v>
                </c:pt>
                <c:pt idx="19">
                  <c:v>2.5709694697375468E-2</c:v>
                </c:pt>
              </c:numCache>
            </c:numRef>
          </c:val>
          <c:extLst>
            <c:ext xmlns:c16="http://schemas.microsoft.com/office/drawing/2014/chart" uri="{C3380CC4-5D6E-409C-BE32-E72D297353CC}">
              <c16:uniqueId val="{00000000-3F04-497A-AECE-39F48B8A3578}"/>
            </c:ext>
          </c:extLst>
        </c:ser>
        <c:dLbls>
          <c:showLegendKey val="0"/>
          <c:showVal val="0"/>
          <c:showCatName val="0"/>
          <c:showSerName val="0"/>
          <c:showPercent val="0"/>
          <c:showBubbleSize val="0"/>
        </c:dLbls>
        <c:gapWidth val="219"/>
        <c:overlap val="-27"/>
        <c:axId val="625920096"/>
        <c:axId val="625917352"/>
      </c:barChart>
      <c:catAx>
        <c:axId val="6259200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25917352"/>
        <c:crosses val="autoZero"/>
        <c:auto val="1"/>
        <c:lblAlgn val="ctr"/>
        <c:lblOffset val="100"/>
        <c:noMultiLvlLbl val="0"/>
      </c:catAx>
      <c:valAx>
        <c:axId val="625917352"/>
        <c:scaling>
          <c:orientation val="minMax"/>
        </c:scaling>
        <c:delete val="0"/>
        <c:axPos val="l"/>
        <c:majorGridlines>
          <c:spPr>
            <a:ln w="3175" cap="flat" cmpd="sng" algn="ctr">
              <a:solidFill>
                <a:srgbClr val="C0C0C0"/>
              </a:solidFill>
              <a:prstDash val="solid"/>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25920096"/>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Charts!$AA$254</c:f>
              <c:strCache>
                <c:ptCount val="1"/>
                <c:pt idx="0">
                  <c:v>Depreciation</c:v>
                </c:pt>
              </c:strCache>
            </c:strRef>
          </c:tx>
          <c:spPr>
            <a:solidFill>
              <a:srgbClr val="000080"/>
            </a:solidFill>
            <a:ln w="25400">
              <a:noFill/>
            </a:ln>
            <a:effectLst/>
          </c:spPr>
          <c:invertIfNegative val="0"/>
          <c:cat>
            <c:strRef>
              <c:f>Charts!$AB$253:$AU$253</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Charts!$AB$254:$AU$254</c:f>
              <c:numCache>
                <c:formatCode>#,##0_);\(#,##0\)</c:formatCode>
                <c:ptCount val="20"/>
                <c:pt idx="0">
                  <c:v>355</c:v>
                </c:pt>
                <c:pt idx="1">
                  <c:v>357</c:v>
                </c:pt>
                <c:pt idx="2">
                  <c:v>339</c:v>
                </c:pt>
                <c:pt idx="3">
                  <c:v>362</c:v>
                </c:pt>
                <c:pt idx="4">
                  <c:v>386</c:v>
                </c:pt>
                <c:pt idx="5">
                  <c:v>393</c:v>
                </c:pt>
                <c:pt idx="6">
                  <c:v>369</c:v>
                </c:pt>
                <c:pt idx="7">
                  <c:v>372</c:v>
                </c:pt>
                <c:pt idx="8">
                  <c:v>350</c:v>
                </c:pt>
                <c:pt idx="9">
                  <c:v>343</c:v>
                </c:pt>
                <c:pt idx="10">
                  <c:v>343</c:v>
                </c:pt>
                <c:pt idx="11">
                  <c:v>372</c:v>
                </c:pt>
                <c:pt idx="12">
                  <c:v>349</c:v>
                </c:pt>
                <c:pt idx="13">
                  <c:v>346</c:v>
                </c:pt>
                <c:pt idx="14">
                  <c:v>350</c:v>
                </c:pt>
                <c:pt idx="15">
                  <c:v>480</c:v>
                </c:pt>
                <c:pt idx="16">
                  <c:v>367</c:v>
                </c:pt>
                <c:pt idx="17">
                  <c:v>364</c:v>
                </c:pt>
                <c:pt idx="18">
                  <c:v>362</c:v>
                </c:pt>
                <c:pt idx="19">
                  <c:v>370</c:v>
                </c:pt>
              </c:numCache>
            </c:numRef>
          </c:val>
          <c:extLst>
            <c:ext xmlns:c16="http://schemas.microsoft.com/office/drawing/2014/chart" uri="{C3380CC4-5D6E-409C-BE32-E72D297353CC}">
              <c16:uniqueId val="{00000000-A4EF-495E-A282-E99AF4FBFD86}"/>
            </c:ext>
          </c:extLst>
        </c:ser>
        <c:dLbls>
          <c:showLegendKey val="0"/>
          <c:showVal val="0"/>
          <c:showCatName val="0"/>
          <c:showSerName val="0"/>
          <c:showPercent val="0"/>
          <c:showBubbleSize val="0"/>
        </c:dLbls>
        <c:gapWidth val="219"/>
        <c:overlap val="-27"/>
        <c:axId val="625913432"/>
        <c:axId val="625915392"/>
      </c:barChart>
      <c:catAx>
        <c:axId val="625913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25915392"/>
        <c:crosses val="autoZero"/>
        <c:auto val="1"/>
        <c:lblAlgn val="ctr"/>
        <c:lblOffset val="100"/>
        <c:noMultiLvlLbl val="0"/>
      </c:catAx>
      <c:valAx>
        <c:axId val="625915392"/>
        <c:scaling>
          <c:orientation val="minMax"/>
        </c:scaling>
        <c:delete val="0"/>
        <c:axPos val="l"/>
        <c:majorGridlines>
          <c:spPr>
            <a:ln w="3175" cap="flat" cmpd="sng" algn="ctr">
              <a:solidFill>
                <a:srgbClr val="C0C0C0"/>
              </a:solidFill>
              <a:prstDash val="solid"/>
              <a:round/>
            </a:ln>
            <a:effectLst/>
          </c:spPr>
        </c:majorGridlines>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25913432"/>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Charts!$AA$260</c:f>
              <c:strCache>
                <c:ptCount val="1"/>
                <c:pt idx="0">
                  <c:v>PAT</c:v>
                </c:pt>
              </c:strCache>
            </c:strRef>
          </c:tx>
          <c:spPr>
            <a:solidFill>
              <a:srgbClr val="000080"/>
            </a:solidFill>
            <a:ln w="25400">
              <a:noFill/>
            </a:ln>
            <a:effectLst/>
          </c:spPr>
          <c:invertIfNegative val="0"/>
          <c:cat>
            <c:strRef>
              <c:f>Charts!$AB$259:$AU$259</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Charts!$AB$260:$AU$260</c:f>
              <c:numCache>
                <c:formatCode>#,##0_);\(#,##0\)</c:formatCode>
                <c:ptCount val="20"/>
                <c:pt idx="0">
                  <c:v>359</c:v>
                </c:pt>
                <c:pt idx="1">
                  <c:v>337</c:v>
                </c:pt>
                <c:pt idx="2">
                  <c:v>363</c:v>
                </c:pt>
                <c:pt idx="3">
                  <c:v>319</c:v>
                </c:pt>
                <c:pt idx="4">
                  <c:v>334</c:v>
                </c:pt>
                <c:pt idx="5">
                  <c:v>360</c:v>
                </c:pt>
                <c:pt idx="6">
                  <c:v>325</c:v>
                </c:pt>
                <c:pt idx="7">
                  <c:v>289</c:v>
                </c:pt>
                <c:pt idx="8">
                  <c:v>289</c:v>
                </c:pt>
                <c:pt idx="9">
                  <c:v>322</c:v>
                </c:pt>
                <c:pt idx="10">
                  <c:v>308</c:v>
                </c:pt>
                <c:pt idx="11">
                  <c:v>232</c:v>
                </c:pt>
                <c:pt idx="12">
                  <c:v>320</c:v>
                </c:pt>
                <c:pt idx="13">
                  <c:v>329</c:v>
                </c:pt>
                <c:pt idx="14">
                  <c:v>287</c:v>
                </c:pt>
                <c:pt idx="15">
                  <c:v>56</c:v>
                </c:pt>
                <c:pt idx="16">
                  <c:v>353</c:v>
                </c:pt>
                <c:pt idx="17">
                  <c:v>356</c:v>
                </c:pt>
                <c:pt idx="18">
                  <c:v>366</c:v>
                </c:pt>
                <c:pt idx="19">
                  <c:v>321</c:v>
                </c:pt>
              </c:numCache>
            </c:numRef>
          </c:val>
          <c:extLst>
            <c:ext xmlns:c16="http://schemas.microsoft.com/office/drawing/2014/chart" uri="{C3380CC4-5D6E-409C-BE32-E72D297353CC}">
              <c16:uniqueId val="{00000000-782D-42B9-8553-B7407CD941C1}"/>
            </c:ext>
          </c:extLst>
        </c:ser>
        <c:dLbls>
          <c:showLegendKey val="0"/>
          <c:showVal val="0"/>
          <c:showCatName val="0"/>
          <c:showSerName val="0"/>
          <c:showPercent val="0"/>
          <c:showBubbleSize val="0"/>
        </c:dLbls>
        <c:gapWidth val="219"/>
        <c:overlap val="-27"/>
        <c:axId val="625913824"/>
        <c:axId val="625914216"/>
      </c:barChart>
      <c:catAx>
        <c:axId val="625913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25914216"/>
        <c:crosses val="autoZero"/>
        <c:auto val="1"/>
        <c:lblAlgn val="ctr"/>
        <c:lblOffset val="100"/>
        <c:noMultiLvlLbl val="0"/>
      </c:catAx>
      <c:valAx>
        <c:axId val="625914216"/>
        <c:scaling>
          <c:orientation val="minMax"/>
        </c:scaling>
        <c:delete val="0"/>
        <c:axPos val="l"/>
        <c:majorGridlines>
          <c:spPr>
            <a:ln w="3175" cap="flat" cmpd="sng" algn="ctr">
              <a:solidFill>
                <a:srgbClr val="C0C0C0"/>
              </a:solidFill>
              <a:prstDash val="solid"/>
              <a:round/>
            </a:ln>
            <a:effectLst/>
          </c:spPr>
        </c:majorGridlines>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25913824"/>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Charts!$AA$271</c:f>
              <c:strCache>
                <c:ptCount val="1"/>
                <c:pt idx="0">
                  <c:v>Net income growth (% YoY)</c:v>
                </c:pt>
              </c:strCache>
            </c:strRef>
          </c:tx>
          <c:spPr>
            <a:ln w="25400" cap="rnd">
              <a:solidFill>
                <a:srgbClr val="333399"/>
              </a:solidFill>
              <a:prstDash val="solid"/>
              <a:round/>
            </a:ln>
            <a:effectLst/>
          </c:spPr>
          <c:marker>
            <c:symbol val="none"/>
          </c:marker>
          <c:cat>
            <c:strRef>
              <c:f>Charts!$AB$270:$AU$270</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Charts!$AB$271:$AU$271</c:f>
              <c:numCache>
                <c:formatCode>0.0%</c:formatCode>
                <c:ptCount val="20"/>
                <c:pt idx="0">
                  <c:v>-0.1089108910891089</c:v>
                </c:pt>
                <c:pt idx="1">
                  <c:v>-0.13554987212276215</c:v>
                </c:pt>
                <c:pt idx="2">
                  <c:v>8.310249307479145E-3</c:v>
                </c:pt>
                <c:pt idx="3">
                  <c:v>-6.7251461988304118E-2</c:v>
                </c:pt>
                <c:pt idx="4">
                  <c:v>-6.9637883008356494E-2</c:v>
                </c:pt>
                <c:pt idx="5">
                  <c:v>6.8249258160237414E-2</c:v>
                </c:pt>
                <c:pt idx="6">
                  <c:v>-0.10468319559228645</c:v>
                </c:pt>
                <c:pt idx="7">
                  <c:v>-9.404388714733547E-2</c:v>
                </c:pt>
                <c:pt idx="8">
                  <c:v>-0.1347305389221557</c:v>
                </c:pt>
                <c:pt idx="9">
                  <c:v>-0.10555555555555551</c:v>
                </c:pt>
                <c:pt idx="10">
                  <c:v>-5.2307692307692277E-2</c:v>
                </c:pt>
                <c:pt idx="11">
                  <c:v>-0.19723183391003463</c:v>
                </c:pt>
                <c:pt idx="12">
                  <c:v>0.10726643598615926</c:v>
                </c:pt>
                <c:pt idx="13">
                  <c:v>2.1739130434782705E-2</c:v>
                </c:pt>
                <c:pt idx="14">
                  <c:v>-6.8181818181818232E-2</c:v>
                </c:pt>
                <c:pt idx="15">
                  <c:v>-0.75862068965517238</c:v>
                </c:pt>
                <c:pt idx="16">
                  <c:v>0.10312499999999991</c:v>
                </c:pt>
                <c:pt idx="17">
                  <c:v>8.2066869300911893E-2</c:v>
                </c:pt>
                <c:pt idx="18">
                  <c:v>0.27526132404181181</c:v>
                </c:pt>
                <c:pt idx="19">
                  <c:v>4.7321428571428568</c:v>
                </c:pt>
              </c:numCache>
            </c:numRef>
          </c:val>
          <c:smooth val="0"/>
          <c:extLst>
            <c:ext xmlns:c16="http://schemas.microsoft.com/office/drawing/2014/chart" uri="{C3380CC4-5D6E-409C-BE32-E72D297353CC}">
              <c16:uniqueId val="{00000000-57AC-4B6B-885B-1918C425150F}"/>
            </c:ext>
          </c:extLst>
        </c:ser>
        <c:dLbls>
          <c:showLegendKey val="0"/>
          <c:showVal val="0"/>
          <c:showCatName val="0"/>
          <c:showSerName val="0"/>
          <c:showPercent val="0"/>
          <c:showBubbleSize val="0"/>
        </c:dLbls>
        <c:smooth val="0"/>
        <c:axId val="625917744"/>
        <c:axId val="625919704"/>
      </c:lineChart>
      <c:catAx>
        <c:axId val="62591774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25919704"/>
        <c:crosses val="autoZero"/>
        <c:auto val="1"/>
        <c:lblAlgn val="ctr"/>
        <c:lblOffset val="100"/>
        <c:noMultiLvlLbl val="0"/>
      </c:catAx>
      <c:valAx>
        <c:axId val="625919704"/>
        <c:scaling>
          <c:orientation val="minMax"/>
        </c:scaling>
        <c:delete val="0"/>
        <c:axPos val="l"/>
        <c:majorGridlines>
          <c:spPr>
            <a:ln w="3175" cap="flat" cmpd="sng" algn="ctr">
              <a:solidFill>
                <a:srgbClr val="C0C0C0"/>
              </a:solidFill>
              <a:prstDash val="solid"/>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25917744"/>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'Profit and Loss Highlights'!$B$56</c:f>
              <c:strCache>
                <c:ptCount val="1"/>
                <c:pt idx="0">
                  <c:v> EBITDA Margin </c:v>
                </c:pt>
              </c:strCache>
            </c:strRef>
          </c:tx>
          <c:spPr>
            <a:ln w="25400" cap="rnd">
              <a:solidFill>
                <a:srgbClr val="333399"/>
              </a:solidFill>
              <a:prstDash val="solid"/>
              <a:round/>
            </a:ln>
            <a:effectLst/>
          </c:spPr>
          <c:marker>
            <c:symbol val="none"/>
          </c:marker>
          <c:cat>
            <c:strRef>
              <c:f>'Profit and Loss Highlights'!$C$1:$AF$1</c:f>
              <c:strCache>
                <c:ptCount val="30"/>
                <c:pt idx="0">
                  <c:v>1Q12</c:v>
                </c:pt>
                <c:pt idx="1">
                  <c:v>2Q12</c:v>
                </c:pt>
                <c:pt idx="2">
                  <c:v>3Q12</c:v>
                </c:pt>
                <c:pt idx="3">
                  <c:v>4Q12</c:v>
                </c:pt>
                <c:pt idx="4">
                  <c:v>1Q13</c:v>
                </c:pt>
                <c:pt idx="5">
                  <c:v>2Q13</c:v>
                </c:pt>
                <c:pt idx="6">
                  <c:v>3Q13</c:v>
                </c:pt>
                <c:pt idx="7">
                  <c:v>4Q13</c:v>
                </c:pt>
                <c:pt idx="8">
                  <c:v>1Q14</c:v>
                </c:pt>
                <c:pt idx="9">
                  <c:v>2Q14</c:v>
                </c:pt>
                <c:pt idx="10">
                  <c:v>3Q14</c:v>
                </c:pt>
                <c:pt idx="11">
                  <c:v>4Q14</c:v>
                </c:pt>
                <c:pt idx="12">
                  <c:v>1Q15</c:v>
                </c:pt>
                <c:pt idx="13">
                  <c:v>2Q15</c:v>
                </c:pt>
                <c:pt idx="14">
                  <c:v>3Q15</c:v>
                </c:pt>
                <c:pt idx="15">
                  <c:v>4Q15</c:v>
                </c:pt>
                <c:pt idx="16">
                  <c:v>1Q16</c:v>
                </c:pt>
                <c:pt idx="17">
                  <c:v>2Q16</c:v>
                </c:pt>
                <c:pt idx="18">
                  <c:v>3Q16</c:v>
                </c:pt>
                <c:pt idx="19">
                  <c:v>4Q16</c:v>
                </c:pt>
                <c:pt idx="20">
                  <c:v>1Q17</c:v>
                </c:pt>
                <c:pt idx="21">
                  <c:v>2Q17</c:v>
                </c:pt>
                <c:pt idx="22">
                  <c:v>3Q17</c:v>
                </c:pt>
                <c:pt idx="23">
                  <c:v>4Q17</c:v>
                </c:pt>
                <c:pt idx="24">
                  <c:v>1Q18</c:v>
                </c:pt>
                <c:pt idx="25">
                  <c:v>2Q18</c:v>
                </c:pt>
                <c:pt idx="26">
                  <c:v>3Q18</c:v>
                </c:pt>
                <c:pt idx="27">
                  <c:v>4Q18</c:v>
                </c:pt>
                <c:pt idx="28">
                  <c:v>1Q19</c:v>
                </c:pt>
                <c:pt idx="29">
                  <c:v>2Q19</c:v>
                </c:pt>
              </c:strCache>
            </c:strRef>
          </c:cat>
          <c:val>
            <c:numRef>
              <c:f>'Profit and Loss Highlights'!$C$56:$AF$56</c:f>
              <c:numCache>
                <c:formatCode>0.0%</c:formatCode>
                <c:ptCount val="30"/>
                <c:pt idx="0">
                  <c:v>0.53049999999999997</c:v>
                </c:pt>
                <c:pt idx="1">
                  <c:v>0.49750000000000005</c:v>
                </c:pt>
                <c:pt idx="2">
                  <c:v>0.47600000000000003</c:v>
                </c:pt>
                <c:pt idx="3">
                  <c:v>0.46200000000000002</c:v>
                </c:pt>
                <c:pt idx="4">
                  <c:v>0.48200000000000004</c:v>
                </c:pt>
                <c:pt idx="5">
                  <c:v>0.50800000000000001</c:v>
                </c:pt>
                <c:pt idx="6">
                  <c:v>0.51500000000000001</c:v>
                </c:pt>
                <c:pt idx="7">
                  <c:v>0.48599999999999999</c:v>
                </c:pt>
                <c:pt idx="8">
                  <c:v>0.50634922133081639</c:v>
                </c:pt>
                <c:pt idx="9">
                  <c:v>0.52163016330451495</c:v>
                </c:pt>
                <c:pt idx="10">
                  <c:v>0.52249878934624694</c:v>
                </c:pt>
                <c:pt idx="11">
                  <c:v>0.47101083372585961</c:v>
                </c:pt>
                <c:pt idx="12">
                  <c:v>0.50443555141926477</c:v>
                </c:pt>
                <c:pt idx="13">
                  <c:v>0.5260758293838862</c:v>
                </c:pt>
                <c:pt idx="14">
                  <c:v>0.512927054478301</c:v>
                </c:pt>
                <c:pt idx="15">
                  <c:v>0.51516544117647056</c:v>
                </c:pt>
                <c:pt idx="16">
                  <c:v>0.54252336448598126</c:v>
                </c:pt>
                <c:pt idx="17">
                  <c:v>0.48049476688867743</c:v>
                </c:pt>
                <c:pt idx="18">
                  <c:v>0.53061224489795922</c:v>
                </c:pt>
                <c:pt idx="19">
                  <c:v>0.53613369467028005</c:v>
                </c:pt>
                <c:pt idx="20">
                  <c:v>0.43115789473684213</c:v>
                </c:pt>
                <c:pt idx="21">
                  <c:v>0.43083511777301925</c:v>
                </c:pt>
                <c:pt idx="22">
                  <c:v>0.4796399485640806</c:v>
                </c:pt>
                <c:pt idx="23">
                  <c:v>0.44023569023569026</c:v>
                </c:pt>
                <c:pt idx="24">
                  <c:v>0.45596781403665626</c:v>
                </c:pt>
                <c:pt idx="25">
                  <c:v>0.44835262689225291</c:v>
                </c:pt>
                <c:pt idx="26">
                  <c:v>0.46245583038869259</c:v>
                </c:pt>
                <c:pt idx="27">
                  <c:v>0.31451942740286298</c:v>
                </c:pt>
                <c:pt idx="28">
                  <c:v>0.44399641577060933</c:v>
                </c:pt>
                <c:pt idx="29">
                  <c:v>0.44650951949229373</c:v>
                </c:pt>
              </c:numCache>
            </c:numRef>
          </c:val>
          <c:smooth val="0"/>
          <c:extLst>
            <c:ext xmlns:c16="http://schemas.microsoft.com/office/drawing/2014/chart" uri="{C3380CC4-5D6E-409C-BE32-E72D297353CC}">
              <c16:uniqueId val="{00000000-7637-4EB9-8341-BBFD66BAEA6C}"/>
            </c:ext>
          </c:extLst>
        </c:ser>
        <c:dLbls>
          <c:showLegendKey val="0"/>
          <c:showVal val="0"/>
          <c:showCatName val="0"/>
          <c:showSerName val="0"/>
          <c:showPercent val="0"/>
          <c:showBubbleSize val="0"/>
        </c:dLbls>
        <c:smooth val="0"/>
        <c:axId val="323596272"/>
        <c:axId val="323591960"/>
      </c:lineChart>
      <c:catAx>
        <c:axId val="3235962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323591960"/>
        <c:crosses val="autoZero"/>
        <c:auto val="1"/>
        <c:lblAlgn val="ctr"/>
        <c:lblOffset val="100"/>
        <c:noMultiLvlLbl val="0"/>
      </c:catAx>
      <c:valAx>
        <c:axId val="323591960"/>
        <c:scaling>
          <c:orientation val="minMax"/>
        </c:scaling>
        <c:delete val="0"/>
        <c:axPos val="l"/>
        <c:majorGridlines>
          <c:spPr>
            <a:ln w="3175" cap="flat" cmpd="sng" algn="ctr">
              <a:solidFill>
                <a:srgbClr val="C0C0C0"/>
              </a:solidFill>
              <a:prstDash val="solid"/>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323596272"/>
        <c:crosses val="autoZero"/>
        <c:crossBetween val="between"/>
      </c:valAx>
      <c:spPr>
        <a:noFill/>
        <a:ln w="25400">
          <a:noFill/>
        </a:ln>
        <a:effectLst/>
      </c:spPr>
    </c:plotArea>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Charts!$AA$277</c:f>
              <c:strCache>
                <c:ptCount val="1"/>
                <c:pt idx="0">
                  <c:v>Net debt/LQA EBITDA</c:v>
                </c:pt>
              </c:strCache>
            </c:strRef>
          </c:tx>
          <c:spPr>
            <a:solidFill>
              <a:srgbClr val="000080"/>
            </a:solidFill>
            <a:ln w="25400">
              <a:noFill/>
            </a:ln>
            <a:effectLst/>
          </c:spPr>
          <c:invertIfNegative val="0"/>
          <c:cat>
            <c:strRef>
              <c:f>Charts!$AB$276:$AU$276</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Charts!$AB$277:$AU$277</c:f>
              <c:numCache>
                <c:formatCode>#,##0.0;\-#,##0.0</c:formatCode>
                <c:ptCount val="20"/>
                <c:pt idx="0">
                  <c:v>2.1297669491525424</c:v>
                </c:pt>
                <c:pt idx="1">
                  <c:v>2.2009594882729213</c:v>
                </c:pt>
                <c:pt idx="2">
                  <c:v>2.1702518363064009</c:v>
                </c:pt>
                <c:pt idx="3">
                  <c:v>2.4472402597402598</c:v>
                </c:pt>
                <c:pt idx="4">
                  <c:v>2.3777315296566077</c:v>
                </c:pt>
                <c:pt idx="5">
                  <c:v>2.2520080321285141</c:v>
                </c:pt>
                <c:pt idx="6">
                  <c:v>2.2848297213622293</c:v>
                </c:pt>
                <c:pt idx="7">
                  <c:v>2.3892167381974247</c:v>
                </c:pt>
                <c:pt idx="8">
                  <c:v>2.5364077669902914</c:v>
                </c:pt>
                <c:pt idx="9">
                  <c:v>2.2336956521739131</c:v>
                </c:pt>
                <c:pt idx="10">
                  <c:v>2.2766434262948207</c:v>
                </c:pt>
                <c:pt idx="11">
                  <c:v>2.3420385395537524</c:v>
                </c:pt>
                <c:pt idx="12">
                  <c:v>2.5249485596707819</c:v>
                </c:pt>
                <c:pt idx="13">
                  <c:v>2.3804890219560879</c:v>
                </c:pt>
                <c:pt idx="14">
                  <c:v>2.4416038751345535</c:v>
                </c:pt>
                <c:pt idx="15">
                  <c:v>2.1766792809839166</c:v>
                </c:pt>
                <c:pt idx="16">
                  <c:v>2.1305076628352491</c:v>
                </c:pt>
                <c:pt idx="17">
                  <c:v>2.0368068833652009</c:v>
                </c:pt>
                <c:pt idx="18">
                  <c:v>2.0188454198473282</c:v>
                </c:pt>
                <c:pt idx="19">
                  <c:v>2.2421239837398375</c:v>
                </c:pt>
              </c:numCache>
            </c:numRef>
          </c:val>
          <c:extLst>
            <c:ext xmlns:c16="http://schemas.microsoft.com/office/drawing/2014/chart" uri="{C3380CC4-5D6E-409C-BE32-E72D297353CC}">
              <c16:uniqueId val="{00000000-036D-4C80-AE19-4D94B220C567}"/>
            </c:ext>
          </c:extLst>
        </c:ser>
        <c:dLbls>
          <c:showLegendKey val="0"/>
          <c:showVal val="0"/>
          <c:showCatName val="0"/>
          <c:showSerName val="0"/>
          <c:showPercent val="0"/>
          <c:showBubbleSize val="0"/>
        </c:dLbls>
        <c:gapWidth val="219"/>
        <c:overlap val="-27"/>
        <c:axId val="625912648"/>
        <c:axId val="625913040"/>
      </c:barChart>
      <c:catAx>
        <c:axId val="6259126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25913040"/>
        <c:crosses val="autoZero"/>
        <c:auto val="1"/>
        <c:lblAlgn val="ctr"/>
        <c:lblOffset val="100"/>
        <c:noMultiLvlLbl val="0"/>
      </c:catAx>
      <c:valAx>
        <c:axId val="625913040"/>
        <c:scaling>
          <c:orientation val="minMax"/>
        </c:scaling>
        <c:delete val="0"/>
        <c:axPos val="l"/>
        <c:majorGridlines>
          <c:spPr>
            <a:ln w="3175" cap="flat" cmpd="sng" algn="ctr">
              <a:solidFill>
                <a:srgbClr val="C0C0C0"/>
              </a:solidFill>
              <a:prstDash val="solid"/>
              <a:round/>
            </a:ln>
            <a:effectLst/>
          </c:spPr>
        </c:majorGridlines>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25912648"/>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Charts!$AA$287</c:f>
              <c:strCache>
                <c:ptCount val="1"/>
                <c:pt idx="0">
                  <c:v>Capex as % of sales</c:v>
                </c:pt>
              </c:strCache>
            </c:strRef>
          </c:tx>
          <c:spPr>
            <a:ln w="25400" cap="rnd">
              <a:solidFill>
                <a:srgbClr val="333399"/>
              </a:solidFill>
              <a:prstDash val="solid"/>
              <a:round/>
            </a:ln>
            <a:effectLst/>
          </c:spPr>
          <c:marker>
            <c:symbol val="none"/>
          </c:marker>
          <c:cat>
            <c:strRef>
              <c:f>Charts!$AB$286:$AU$286</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Charts!$AB$287:$AU$287</c:f>
              <c:numCache>
                <c:formatCode>0.0%</c:formatCode>
                <c:ptCount val="20"/>
                <c:pt idx="0">
                  <c:v>6.9628363947031188E-2</c:v>
                </c:pt>
                <c:pt idx="1">
                  <c:v>0.1204091120409112</c:v>
                </c:pt>
                <c:pt idx="2">
                  <c:v>0.14414821509263442</c:v>
                </c:pt>
                <c:pt idx="3">
                  <c:v>0.22291021671826625</c:v>
                </c:pt>
                <c:pt idx="4">
                  <c:v>6.0714285714285714E-2</c:v>
                </c:pt>
                <c:pt idx="5">
                  <c:v>7.9155672823219003E-2</c:v>
                </c:pt>
                <c:pt idx="6">
                  <c:v>0.12065169528841919</c:v>
                </c:pt>
                <c:pt idx="7">
                  <c:v>0.24307817589576547</c:v>
                </c:pt>
                <c:pt idx="8">
                  <c:v>7.1072319201995013E-2</c:v>
                </c:pt>
                <c:pt idx="9">
                  <c:v>9.9422442244224418E-2</c:v>
                </c:pt>
                <c:pt idx="10">
                  <c:v>0.1130977130977131</c:v>
                </c:pt>
                <c:pt idx="11">
                  <c:v>0.16836335160532498</c:v>
                </c:pt>
                <c:pt idx="12">
                  <c:v>5.1464766429136978E-2</c:v>
                </c:pt>
                <c:pt idx="13">
                  <c:v>6.7206477732793521E-2</c:v>
                </c:pt>
                <c:pt idx="14">
                  <c:v>8.8042588042588049E-2</c:v>
                </c:pt>
                <c:pt idx="15">
                  <c:v>0.11013858497447118</c:v>
                </c:pt>
                <c:pt idx="16">
                  <c:v>4.0722243565117174E-2</c:v>
                </c:pt>
                <c:pt idx="17">
                  <c:v>4.4856921887084303E-2</c:v>
                </c:pt>
                <c:pt idx="18">
                  <c:v>5.434782608695652E-2</c:v>
                </c:pt>
                <c:pt idx="19">
                  <c:v>0.11259473114399134</c:v>
                </c:pt>
              </c:numCache>
            </c:numRef>
          </c:val>
          <c:smooth val="0"/>
          <c:extLst>
            <c:ext xmlns:c16="http://schemas.microsoft.com/office/drawing/2014/chart" uri="{C3380CC4-5D6E-409C-BE32-E72D297353CC}">
              <c16:uniqueId val="{00000000-9558-47C4-9B05-77585A0DDAF0}"/>
            </c:ext>
          </c:extLst>
        </c:ser>
        <c:dLbls>
          <c:showLegendKey val="0"/>
          <c:showVal val="0"/>
          <c:showCatName val="0"/>
          <c:showSerName val="0"/>
          <c:showPercent val="0"/>
          <c:showBubbleSize val="0"/>
        </c:dLbls>
        <c:smooth val="0"/>
        <c:axId val="626162680"/>
        <c:axId val="626156408"/>
      </c:lineChart>
      <c:catAx>
        <c:axId val="62616268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26156408"/>
        <c:crosses val="autoZero"/>
        <c:auto val="1"/>
        <c:lblAlgn val="ctr"/>
        <c:lblOffset val="100"/>
        <c:noMultiLvlLbl val="0"/>
      </c:catAx>
      <c:valAx>
        <c:axId val="626156408"/>
        <c:scaling>
          <c:orientation val="minMax"/>
        </c:scaling>
        <c:delete val="0"/>
        <c:axPos val="l"/>
        <c:majorGridlines>
          <c:spPr>
            <a:ln w="3175" cap="flat" cmpd="sng" algn="ctr">
              <a:solidFill>
                <a:srgbClr val="C0C0C0"/>
              </a:solidFill>
              <a:prstDash val="solid"/>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26162680"/>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Charts!$AA$293</c:f>
              <c:strCache>
                <c:ptCount val="1"/>
                <c:pt idx="0">
                  <c:v>Capital Expenditure (accrued)</c:v>
                </c:pt>
              </c:strCache>
            </c:strRef>
          </c:tx>
          <c:spPr>
            <a:solidFill>
              <a:srgbClr val="000080"/>
            </a:solidFill>
            <a:ln w="25400">
              <a:noFill/>
            </a:ln>
            <a:effectLst/>
          </c:spPr>
          <c:invertIfNegative val="0"/>
          <c:cat>
            <c:strRef>
              <c:f>Charts!$AB$292:$AU$292</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Charts!$AB$293:$AU$293</c:f>
              <c:numCache>
                <c:formatCode>#,##0.0;\-#,##0.0</c:formatCode>
                <c:ptCount val="20"/>
                <c:pt idx="0">
                  <c:v>163</c:v>
                </c:pt>
                <c:pt idx="1">
                  <c:v>259</c:v>
                </c:pt>
                <c:pt idx="2">
                  <c:v>319</c:v>
                </c:pt>
                <c:pt idx="3">
                  <c:v>504</c:v>
                </c:pt>
                <c:pt idx="4">
                  <c:v>136</c:v>
                </c:pt>
                <c:pt idx="5">
                  <c:v>180</c:v>
                </c:pt>
                <c:pt idx="6">
                  <c:v>274</c:v>
                </c:pt>
                <c:pt idx="7">
                  <c:v>597</c:v>
                </c:pt>
                <c:pt idx="8">
                  <c:v>171</c:v>
                </c:pt>
                <c:pt idx="9">
                  <c:v>241</c:v>
                </c:pt>
                <c:pt idx="10">
                  <c:v>272</c:v>
                </c:pt>
                <c:pt idx="11">
                  <c:v>430</c:v>
                </c:pt>
                <c:pt idx="12">
                  <c:v>130</c:v>
                </c:pt>
                <c:pt idx="13">
                  <c:v>166</c:v>
                </c:pt>
                <c:pt idx="14">
                  <c:v>215</c:v>
                </c:pt>
                <c:pt idx="15">
                  <c:v>302</c:v>
                </c:pt>
                <c:pt idx="16">
                  <c:v>106</c:v>
                </c:pt>
                <c:pt idx="17">
                  <c:v>116</c:v>
                </c:pt>
                <c:pt idx="18">
                  <c:v>140</c:v>
                </c:pt>
                <c:pt idx="19">
                  <c:v>312</c:v>
                </c:pt>
              </c:numCache>
            </c:numRef>
          </c:val>
          <c:extLst>
            <c:ext xmlns:c16="http://schemas.microsoft.com/office/drawing/2014/chart" uri="{C3380CC4-5D6E-409C-BE32-E72D297353CC}">
              <c16:uniqueId val="{00000000-A89A-456F-8F49-D3DE1E8FBA3E}"/>
            </c:ext>
          </c:extLst>
        </c:ser>
        <c:dLbls>
          <c:showLegendKey val="0"/>
          <c:showVal val="0"/>
          <c:showCatName val="0"/>
          <c:showSerName val="0"/>
          <c:showPercent val="0"/>
          <c:showBubbleSize val="0"/>
        </c:dLbls>
        <c:gapWidth val="219"/>
        <c:overlap val="-27"/>
        <c:axId val="626157976"/>
        <c:axId val="626161504"/>
      </c:barChart>
      <c:catAx>
        <c:axId val="626157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26161504"/>
        <c:crosses val="autoZero"/>
        <c:auto val="1"/>
        <c:lblAlgn val="ctr"/>
        <c:lblOffset val="100"/>
        <c:noMultiLvlLbl val="0"/>
      </c:catAx>
      <c:valAx>
        <c:axId val="626161504"/>
        <c:scaling>
          <c:orientation val="minMax"/>
        </c:scaling>
        <c:delete val="0"/>
        <c:axPos val="l"/>
        <c:majorGridlines>
          <c:spPr>
            <a:ln w="3175" cap="flat" cmpd="sng" algn="ctr">
              <a:solidFill>
                <a:srgbClr val="C0C0C0"/>
              </a:solidFill>
              <a:prstDash val="solid"/>
              <a:round/>
            </a:ln>
            <a:effectLst/>
          </c:spPr>
        </c:majorGridlines>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26157976"/>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Charts!$AA$304</c:f>
              <c:strCache>
                <c:ptCount val="1"/>
                <c:pt idx="0">
                  <c:v>OpFCF</c:v>
                </c:pt>
              </c:strCache>
            </c:strRef>
          </c:tx>
          <c:spPr>
            <a:solidFill>
              <a:srgbClr val="000080"/>
            </a:solidFill>
            <a:ln w="25400">
              <a:noFill/>
            </a:ln>
            <a:effectLst/>
          </c:spPr>
          <c:invertIfNegative val="0"/>
          <c:cat>
            <c:strRef>
              <c:f>Charts!$AB$303:$AU$303</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Charts!$AB$304:$AU$304</c:f>
              <c:numCache>
                <c:formatCode>#,##0.0;\-#,##0.0</c:formatCode>
                <c:ptCount val="20"/>
                <c:pt idx="0">
                  <c:v>799</c:v>
                </c:pt>
                <c:pt idx="1">
                  <c:v>687</c:v>
                </c:pt>
                <c:pt idx="2">
                  <c:v>648</c:v>
                </c:pt>
                <c:pt idx="3">
                  <c:v>435</c:v>
                </c:pt>
                <c:pt idx="4">
                  <c:v>825</c:v>
                </c:pt>
                <c:pt idx="5">
                  <c:v>826</c:v>
                </c:pt>
                <c:pt idx="6">
                  <c:v>703</c:v>
                </c:pt>
                <c:pt idx="7">
                  <c:v>335</c:v>
                </c:pt>
                <c:pt idx="8">
                  <c:v>756</c:v>
                </c:pt>
                <c:pt idx="9">
                  <c:v>771</c:v>
                </c:pt>
                <c:pt idx="10">
                  <c:v>732</c:v>
                </c:pt>
                <c:pt idx="11">
                  <c:v>556</c:v>
                </c:pt>
                <c:pt idx="12">
                  <c:v>842</c:v>
                </c:pt>
                <c:pt idx="13">
                  <c:v>836</c:v>
                </c:pt>
                <c:pt idx="14">
                  <c:v>714</c:v>
                </c:pt>
                <c:pt idx="15">
                  <c:v>755</c:v>
                </c:pt>
                <c:pt idx="16">
                  <c:v>938</c:v>
                </c:pt>
                <c:pt idx="17">
                  <c:v>930</c:v>
                </c:pt>
                <c:pt idx="18">
                  <c:v>908</c:v>
                </c:pt>
                <c:pt idx="19">
                  <c:v>672</c:v>
                </c:pt>
              </c:numCache>
            </c:numRef>
          </c:val>
          <c:extLst>
            <c:ext xmlns:c16="http://schemas.microsoft.com/office/drawing/2014/chart" uri="{C3380CC4-5D6E-409C-BE32-E72D297353CC}">
              <c16:uniqueId val="{00000000-D512-4B5C-A437-F365F9190D4A}"/>
            </c:ext>
          </c:extLst>
        </c:ser>
        <c:dLbls>
          <c:showLegendKey val="0"/>
          <c:showVal val="0"/>
          <c:showCatName val="0"/>
          <c:showSerName val="0"/>
          <c:showPercent val="0"/>
          <c:showBubbleSize val="0"/>
        </c:dLbls>
        <c:gapWidth val="219"/>
        <c:overlap val="-27"/>
        <c:axId val="626156800"/>
        <c:axId val="626161896"/>
      </c:barChart>
      <c:catAx>
        <c:axId val="626156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26161896"/>
        <c:crosses val="autoZero"/>
        <c:auto val="1"/>
        <c:lblAlgn val="ctr"/>
        <c:lblOffset val="100"/>
        <c:noMultiLvlLbl val="0"/>
      </c:catAx>
      <c:valAx>
        <c:axId val="626161896"/>
        <c:scaling>
          <c:orientation val="minMax"/>
        </c:scaling>
        <c:delete val="0"/>
        <c:axPos val="l"/>
        <c:majorGridlines>
          <c:spPr>
            <a:ln w="3175" cap="flat" cmpd="sng" algn="ctr">
              <a:solidFill>
                <a:srgbClr val="C0C0C0"/>
              </a:solidFill>
              <a:prstDash val="solid"/>
              <a:round/>
            </a:ln>
            <a:effectLst/>
          </c:spPr>
        </c:majorGridlines>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26156800"/>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Charts!$AA$309</c:f>
              <c:strCache>
                <c:ptCount val="1"/>
                <c:pt idx="0">
                  <c:v>OpFCF margin (%)</c:v>
                </c:pt>
              </c:strCache>
            </c:strRef>
          </c:tx>
          <c:spPr>
            <a:ln w="25400" cap="rnd">
              <a:solidFill>
                <a:srgbClr val="333399"/>
              </a:solidFill>
              <a:prstDash val="solid"/>
              <a:round/>
            </a:ln>
            <a:effectLst/>
          </c:spPr>
          <c:marker>
            <c:symbol val="none"/>
          </c:marker>
          <c:cat>
            <c:strRef>
              <c:f>Charts!$AB$308:$AU$308</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Charts!$AB$309:$AU$309</c:f>
              <c:numCache>
                <c:formatCode>0.0%</c:formatCode>
                <c:ptCount val="20"/>
                <c:pt idx="0">
                  <c:v>0.34130713370354548</c:v>
                </c:pt>
                <c:pt idx="1">
                  <c:v>0.31938633193863319</c:v>
                </c:pt>
                <c:pt idx="2">
                  <c:v>0.29281518300948939</c:v>
                </c:pt>
                <c:pt idx="3">
                  <c:v>0.19239274657231314</c:v>
                </c:pt>
                <c:pt idx="4">
                  <c:v>0.36830357142857145</c:v>
                </c:pt>
                <c:pt idx="5">
                  <c:v>0.36323658751099386</c:v>
                </c:pt>
                <c:pt idx="6">
                  <c:v>0.30955526199911931</c:v>
                </c:pt>
                <c:pt idx="7">
                  <c:v>0.13640065146579805</c:v>
                </c:pt>
                <c:pt idx="8">
                  <c:v>0.31421446384039903</c:v>
                </c:pt>
                <c:pt idx="9">
                  <c:v>0.31806930693069307</c:v>
                </c:pt>
                <c:pt idx="10">
                  <c:v>0.30436590436590438</c:v>
                </c:pt>
                <c:pt idx="11">
                  <c:v>0.21769772905246673</c:v>
                </c:pt>
                <c:pt idx="12">
                  <c:v>0.33333333333333331</c:v>
                </c:pt>
                <c:pt idx="13">
                  <c:v>0.33846153846153848</c:v>
                </c:pt>
                <c:pt idx="14">
                  <c:v>0.29238329238329236</c:v>
                </c:pt>
                <c:pt idx="15">
                  <c:v>0.275346462436178</c:v>
                </c:pt>
                <c:pt idx="16">
                  <c:v>0.36035343834037648</c:v>
                </c:pt>
                <c:pt idx="17">
                  <c:v>0.35962877030162416</c:v>
                </c:pt>
                <c:pt idx="18">
                  <c:v>0.35248447204968947</c:v>
                </c:pt>
                <c:pt idx="19">
                  <c:v>0.24251172861782749</c:v>
                </c:pt>
              </c:numCache>
            </c:numRef>
          </c:val>
          <c:smooth val="0"/>
          <c:extLst>
            <c:ext xmlns:c16="http://schemas.microsoft.com/office/drawing/2014/chart" uri="{C3380CC4-5D6E-409C-BE32-E72D297353CC}">
              <c16:uniqueId val="{00000000-AC83-4547-BFCE-ABFCBE94F192}"/>
            </c:ext>
          </c:extLst>
        </c:ser>
        <c:dLbls>
          <c:showLegendKey val="0"/>
          <c:showVal val="0"/>
          <c:showCatName val="0"/>
          <c:showSerName val="0"/>
          <c:showPercent val="0"/>
          <c:showBubbleSize val="0"/>
        </c:dLbls>
        <c:smooth val="0"/>
        <c:axId val="626163464"/>
        <c:axId val="626160720"/>
      </c:lineChart>
      <c:catAx>
        <c:axId val="62616346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26160720"/>
        <c:crosses val="autoZero"/>
        <c:auto val="1"/>
        <c:lblAlgn val="ctr"/>
        <c:lblOffset val="100"/>
        <c:noMultiLvlLbl val="0"/>
      </c:catAx>
      <c:valAx>
        <c:axId val="626160720"/>
        <c:scaling>
          <c:orientation val="minMax"/>
        </c:scaling>
        <c:delete val="0"/>
        <c:axPos val="l"/>
        <c:majorGridlines>
          <c:spPr>
            <a:ln w="3175" cap="flat" cmpd="sng" algn="ctr">
              <a:solidFill>
                <a:srgbClr val="C0C0C0"/>
              </a:solidFill>
              <a:prstDash val="solid"/>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26163464"/>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Charts!$AA$320</c:f>
              <c:strCache>
                <c:ptCount val="1"/>
                <c:pt idx="0">
                  <c:v>FCF (OpFCF - Interest - Tax)</c:v>
                </c:pt>
              </c:strCache>
            </c:strRef>
          </c:tx>
          <c:spPr>
            <a:solidFill>
              <a:srgbClr val="000080"/>
            </a:solidFill>
            <a:ln w="25400">
              <a:noFill/>
            </a:ln>
            <a:effectLst/>
          </c:spPr>
          <c:invertIfNegative val="0"/>
          <c:cat>
            <c:strRef>
              <c:f>Charts!$AB$319:$AU$319</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Charts!$AB$320:$AU$320</c:f>
              <c:numCache>
                <c:formatCode>#,##0.0;\-#,##0.0</c:formatCode>
                <c:ptCount val="20"/>
                <c:pt idx="0">
                  <c:v>579</c:v>
                </c:pt>
                <c:pt idx="1">
                  <c:v>471</c:v>
                </c:pt>
                <c:pt idx="2">
                  <c:v>423</c:v>
                </c:pt>
                <c:pt idx="3">
                  <c:v>222</c:v>
                </c:pt>
                <c:pt idx="4">
                  <c:v>597</c:v>
                </c:pt>
                <c:pt idx="5">
                  <c:v>592</c:v>
                </c:pt>
                <c:pt idx="6">
                  <c:v>488</c:v>
                </c:pt>
                <c:pt idx="7">
                  <c:v>146</c:v>
                </c:pt>
                <c:pt idx="8">
                  <c:v>525</c:v>
                </c:pt>
                <c:pt idx="9">
                  <c:v>496</c:v>
                </c:pt>
                <c:pt idx="10">
                  <c:v>466</c:v>
                </c:pt>
                <c:pt idx="11">
                  <c:v>270</c:v>
                </c:pt>
                <c:pt idx="12">
                  <c:v>621</c:v>
                </c:pt>
                <c:pt idx="13">
                  <c:v>597</c:v>
                </c:pt>
                <c:pt idx="14">
                  <c:v>509</c:v>
                </c:pt>
                <c:pt idx="15">
                  <c:v>522</c:v>
                </c:pt>
                <c:pt idx="16">
                  <c:v>701</c:v>
                </c:pt>
                <c:pt idx="17">
                  <c:v>691</c:v>
                </c:pt>
                <c:pt idx="18">
                  <c:v>675</c:v>
                </c:pt>
                <c:pt idx="19">
                  <c:v>453</c:v>
                </c:pt>
              </c:numCache>
            </c:numRef>
          </c:val>
          <c:extLst>
            <c:ext xmlns:c16="http://schemas.microsoft.com/office/drawing/2014/chart" uri="{C3380CC4-5D6E-409C-BE32-E72D297353CC}">
              <c16:uniqueId val="{00000000-4A1D-410F-AF38-4A81A665FA03}"/>
            </c:ext>
          </c:extLst>
        </c:ser>
        <c:dLbls>
          <c:showLegendKey val="0"/>
          <c:showVal val="0"/>
          <c:showCatName val="0"/>
          <c:showSerName val="0"/>
          <c:showPercent val="0"/>
          <c:showBubbleSize val="0"/>
        </c:dLbls>
        <c:gapWidth val="219"/>
        <c:overlap val="-27"/>
        <c:axId val="626153664"/>
        <c:axId val="626158760"/>
      </c:barChart>
      <c:catAx>
        <c:axId val="626153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26158760"/>
        <c:crosses val="autoZero"/>
        <c:auto val="1"/>
        <c:lblAlgn val="ctr"/>
        <c:lblOffset val="100"/>
        <c:noMultiLvlLbl val="0"/>
      </c:catAx>
      <c:valAx>
        <c:axId val="626158760"/>
        <c:scaling>
          <c:orientation val="minMax"/>
        </c:scaling>
        <c:delete val="0"/>
        <c:axPos val="l"/>
        <c:majorGridlines>
          <c:spPr>
            <a:ln w="3175" cap="flat" cmpd="sng" algn="ctr">
              <a:solidFill>
                <a:srgbClr val="C0C0C0"/>
              </a:solidFill>
              <a:prstDash val="solid"/>
              <a:round/>
            </a:ln>
            <a:effectLst/>
          </c:spPr>
        </c:majorGridlines>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26153664"/>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Charts!$AA$327</c:f>
              <c:strCache>
                <c:ptCount val="1"/>
                <c:pt idx="0">
                  <c:v>EPS</c:v>
                </c:pt>
              </c:strCache>
            </c:strRef>
          </c:tx>
          <c:spPr>
            <a:solidFill>
              <a:srgbClr val="000080"/>
            </a:solidFill>
            <a:ln w="25400">
              <a:noFill/>
            </a:ln>
            <a:effectLst/>
          </c:spPr>
          <c:invertIfNegative val="0"/>
          <c:cat>
            <c:strRef>
              <c:f>Charts!$AB$326:$AU$326</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Charts!$AB$327:$AU$327</c:f>
              <c:numCache>
                <c:formatCode>0.0%</c:formatCode>
                <c:ptCount val="20"/>
                <c:pt idx="0">
                  <c:v>4.5907928388746806E-2</c:v>
                </c:pt>
                <c:pt idx="1">
                  <c:v>4.3094629156010228E-2</c:v>
                </c:pt>
                <c:pt idx="2">
                  <c:v>4.6419437340153455E-2</c:v>
                </c:pt>
                <c:pt idx="3">
                  <c:v>4.0792838874680305E-2</c:v>
                </c:pt>
                <c:pt idx="4">
                  <c:v>4.271099744245524E-2</c:v>
                </c:pt>
                <c:pt idx="5">
                  <c:v>4.6035805626598467E-2</c:v>
                </c:pt>
                <c:pt idx="6">
                  <c:v>4.1560102301790282E-2</c:v>
                </c:pt>
                <c:pt idx="7">
                  <c:v>3.6956521739130437E-2</c:v>
                </c:pt>
                <c:pt idx="8">
                  <c:v>3.6928188090978788E-2</c:v>
                </c:pt>
                <c:pt idx="9">
                  <c:v>4.1176470588235294E-2</c:v>
                </c:pt>
                <c:pt idx="10">
                  <c:v>3.938618925831202E-2</c:v>
                </c:pt>
                <c:pt idx="11">
                  <c:v>2.9667519181585677E-2</c:v>
                </c:pt>
                <c:pt idx="12">
                  <c:v>4.0920716112531973E-2</c:v>
                </c:pt>
                <c:pt idx="13">
                  <c:v>4.2071611253196931E-2</c:v>
                </c:pt>
                <c:pt idx="14">
                  <c:v>3.6700767263427109E-2</c:v>
                </c:pt>
                <c:pt idx="15">
                  <c:v>7.1611253196930949E-3</c:v>
                </c:pt>
                <c:pt idx="16">
                  <c:v>4.514066496163683E-2</c:v>
                </c:pt>
                <c:pt idx="17">
                  <c:v>4.5524296675191818E-2</c:v>
                </c:pt>
                <c:pt idx="18">
                  <c:v>4.6803069053708443E-2</c:v>
                </c:pt>
                <c:pt idx="19">
                  <c:v>4.1048593350383633E-2</c:v>
                </c:pt>
              </c:numCache>
            </c:numRef>
          </c:val>
          <c:extLst>
            <c:ext xmlns:c16="http://schemas.microsoft.com/office/drawing/2014/chart" uri="{C3380CC4-5D6E-409C-BE32-E72D297353CC}">
              <c16:uniqueId val="{00000000-222B-43A2-83E8-1E723A4DD5EF}"/>
            </c:ext>
          </c:extLst>
        </c:ser>
        <c:ser>
          <c:idx val="1"/>
          <c:order val="1"/>
          <c:tx>
            <c:strRef>
              <c:f>Charts!$AA$328</c:f>
              <c:strCache>
                <c:ptCount val="1"/>
                <c:pt idx="0">
                  <c:v>DPS</c:v>
                </c:pt>
              </c:strCache>
            </c:strRef>
          </c:tx>
          <c:spPr>
            <a:solidFill>
              <a:srgbClr val="9999FF"/>
            </a:solidFill>
            <a:ln w="25400">
              <a:noFill/>
            </a:ln>
            <a:effectLst/>
          </c:spPr>
          <c:invertIfNegative val="0"/>
          <c:cat>
            <c:strRef>
              <c:f>Charts!$AB$326:$AU$326</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Charts!$AB$328:$AU$328</c:f>
              <c:numCache>
                <c:formatCode>0.0%</c:formatCode>
                <c:ptCount val="20"/>
                <c:pt idx="0">
                  <c:v>0.04</c:v>
                </c:pt>
                <c:pt idx="1">
                  <c:v>0.04</c:v>
                </c:pt>
                <c:pt idx="2">
                  <c:v>0.04</c:v>
                </c:pt>
                <c:pt idx="3">
                  <c:v>0.05</c:v>
                </c:pt>
                <c:pt idx="4">
                  <c:v>0.04</c:v>
                </c:pt>
                <c:pt idx="5">
                  <c:v>0.04</c:v>
                </c:pt>
                <c:pt idx="6">
                  <c:v>0.04</c:v>
                </c:pt>
                <c:pt idx="7">
                  <c:v>0.05</c:v>
                </c:pt>
                <c:pt idx="8">
                  <c:v>0.05</c:v>
                </c:pt>
                <c:pt idx="9">
                  <c:v>0.05</c:v>
                </c:pt>
                <c:pt idx="10">
                  <c:v>0.05</c:v>
                </c:pt>
                <c:pt idx="11">
                  <c:v>0.05</c:v>
                </c:pt>
                <c:pt idx="12">
                  <c:v>0.04</c:v>
                </c:pt>
                <c:pt idx="13">
                  <c:v>0.04</c:v>
                </c:pt>
                <c:pt idx="14">
                  <c:v>0.04</c:v>
                </c:pt>
                <c:pt idx="15">
                  <c:v>0.04</c:v>
                </c:pt>
                <c:pt idx="16">
                  <c:v>0.04</c:v>
                </c:pt>
                <c:pt idx="17">
                  <c:v>0.04</c:v>
                </c:pt>
                <c:pt idx="18">
                  <c:v>0.04</c:v>
                </c:pt>
                <c:pt idx="19">
                  <c:v>0.05</c:v>
                </c:pt>
              </c:numCache>
            </c:numRef>
          </c:val>
          <c:extLst>
            <c:ext xmlns:c16="http://schemas.microsoft.com/office/drawing/2014/chart" uri="{C3380CC4-5D6E-409C-BE32-E72D297353CC}">
              <c16:uniqueId val="{00000001-222B-43A2-83E8-1E723A4DD5EF}"/>
            </c:ext>
          </c:extLst>
        </c:ser>
        <c:dLbls>
          <c:showLegendKey val="0"/>
          <c:showVal val="0"/>
          <c:showCatName val="0"/>
          <c:showSerName val="0"/>
          <c:showPercent val="0"/>
          <c:showBubbleSize val="0"/>
        </c:dLbls>
        <c:gapWidth val="219"/>
        <c:overlap val="-27"/>
        <c:axId val="626159152"/>
        <c:axId val="626152880"/>
      </c:barChart>
      <c:catAx>
        <c:axId val="62615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26152880"/>
        <c:crosses val="autoZero"/>
        <c:auto val="1"/>
        <c:lblAlgn val="ctr"/>
        <c:lblOffset val="100"/>
        <c:noMultiLvlLbl val="0"/>
      </c:catAx>
      <c:valAx>
        <c:axId val="626152880"/>
        <c:scaling>
          <c:orientation val="minMax"/>
        </c:scaling>
        <c:delete val="0"/>
        <c:axPos val="l"/>
        <c:majorGridlines>
          <c:spPr>
            <a:ln w="3175" cap="flat" cmpd="sng" algn="ctr">
              <a:solidFill>
                <a:srgbClr val="C0C0C0"/>
              </a:solidFill>
              <a:prstDash val="solid"/>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26159152"/>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Charts!$AA$16</c:f>
              <c:strCache>
                <c:ptCount val="1"/>
                <c:pt idx="0">
                  <c:v>Gross Revenue</c:v>
                </c:pt>
              </c:strCache>
            </c:strRef>
          </c:tx>
          <c:spPr>
            <a:solidFill>
              <a:srgbClr val="000080"/>
            </a:solidFill>
            <a:ln w="25400">
              <a:noFill/>
            </a:ln>
            <a:effectLst/>
          </c:spPr>
          <c:invertIfNegative val="0"/>
          <c:cat>
            <c:strRef>
              <c:f>Charts!$AB$15:$AU$15</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Charts!$AB$16:$AU$16</c:f>
              <c:numCache>
                <c:formatCode>#,##0_);\(#,##0\)</c:formatCode>
                <c:ptCount val="20"/>
                <c:pt idx="0">
                  <c:v>2341</c:v>
                </c:pt>
                <c:pt idx="1">
                  <c:v>2151</c:v>
                </c:pt>
                <c:pt idx="2">
                  <c:v>2213</c:v>
                </c:pt>
                <c:pt idx="3">
                  <c:v>2261</c:v>
                </c:pt>
                <c:pt idx="4">
                  <c:v>2240</c:v>
                </c:pt>
                <c:pt idx="5">
                  <c:v>2274</c:v>
                </c:pt>
                <c:pt idx="6">
                  <c:v>2271</c:v>
                </c:pt>
                <c:pt idx="7">
                  <c:v>2456</c:v>
                </c:pt>
                <c:pt idx="8">
                  <c:v>2406</c:v>
                </c:pt>
                <c:pt idx="9">
                  <c:v>2424</c:v>
                </c:pt>
                <c:pt idx="10">
                  <c:v>2405</c:v>
                </c:pt>
                <c:pt idx="11">
                  <c:v>2554</c:v>
                </c:pt>
                <c:pt idx="12">
                  <c:v>2526</c:v>
                </c:pt>
                <c:pt idx="13">
                  <c:v>2470</c:v>
                </c:pt>
                <c:pt idx="14">
                  <c:v>2442</c:v>
                </c:pt>
                <c:pt idx="15">
                  <c:v>2742</c:v>
                </c:pt>
                <c:pt idx="16">
                  <c:v>2603</c:v>
                </c:pt>
                <c:pt idx="17">
                  <c:v>2586</c:v>
                </c:pt>
                <c:pt idx="18">
                  <c:v>2576</c:v>
                </c:pt>
                <c:pt idx="19">
                  <c:v>2771</c:v>
                </c:pt>
              </c:numCache>
            </c:numRef>
          </c:val>
          <c:extLst>
            <c:ext xmlns:c16="http://schemas.microsoft.com/office/drawing/2014/chart" uri="{C3380CC4-5D6E-409C-BE32-E72D297353CC}">
              <c16:uniqueId val="{00000000-974E-4BB7-8633-6973CBB09874}"/>
            </c:ext>
          </c:extLst>
        </c:ser>
        <c:dLbls>
          <c:showLegendKey val="0"/>
          <c:showVal val="0"/>
          <c:showCatName val="0"/>
          <c:showSerName val="0"/>
          <c:showPercent val="0"/>
          <c:showBubbleSize val="0"/>
        </c:dLbls>
        <c:gapWidth val="219"/>
        <c:overlap val="-27"/>
        <c:axId val="323592352"/>
        <c:axId val="323591568"/>
      </c:barChart>
      <c:catAx>
        <c:axId val="323592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323591568"/>
        <c:crosses val="autoZero"/>
        <c:auto val="1"/>
        <c:lblAlgn val="ctr"/>
        <c:lblOffset val="100"/>
        <c:noMultiLvlLbl val="0"/>
      </c:catAx>
      <c:valAx>
        <c:axId val="323591568"/>
        <c:scaling>
          <c:orientation val="minMax"/>
        </c:scaling>
        <c:delete val="0"/>
        <c:axPos val="l"/>
        <c:majorGridlines>
          <c:spPr>
            <a:ln w="3175" cap="flat" cmpd="sng" algn="ctr">
              <a:solidFill>
                <a:srgbClr val="C0C0C0"/>
              </a:solidFill>
              <a:prstDash val="solid"/>
              <a:round/>
            </a:ln>
            <a:effectLst/>
          </c:spPr>
        </c:majorGridlines>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323592352"/>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Charts!$AA$22</c:f>
              <c:strCache>
                <c:ptCount val="1"/>
                <c:pt idx="0">
                  <c:v>Group Total Revenue Growth YoY</c:v>
                </c:pt>
              </c:strCache>
            </c:strRef>
          </c:tx>
          <c:spPr>
            <a:ln w="25400" cap="rnd">
              <a:solidFill>
                <a:srgbClr val="333399"/>
              </a:solidFill>
              <a:prstDash val="solid"/>
              <a:round/>
            </a:ln>
            <a:effectLst/>
          </c:spPr>
          <c:marker>
            <c:symbol val="none"/>
          </c:marker>
          <c:cat>
            <c:strRef>
              <c:f>Charts!$AB$21:$AU$21</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Charts!$AB$22:$AU$22</c:f>
              <c:numCache>
                <c:formatCode>0.0%</c:formatCode>
                <c:ptCount val="20"/>
                <c:pt idx="0">
                  <c:v>4.8835125448028593E-2</c:v>
                </c:pt>
                <c:pt idx="1">
                  <c:v>-2.4932003626473298E-2</c:v>
                </c:pt>
                <c:pt idx="2">
                  <c:v>-3.1509846827133425E-2</c:v>
                </c:pt>
                <c:pt idx="3">
                  <c:v>-0.12702702702702706</c:v>
                </c:pt>
                <c:pt idx="4">
                  <c:v>-4.314395557454076E-2</c:v>
                </c:pt>
                <c:pt idx="5">
                  <c:v>5.7182705718270554E-2</c:v>
                </c:pt>
                <c:pt idx="6">
                  <c:v>2.6208766380479087E-2</c:v>
                </c:pt>
                <c:pt idx="7">
                  <c:v>8.6245024325519726E-2</c:v>
                </c:pt>
                <c:pt idx="8">
                  <c:v>7.4107142857142927E-2</c:v>
                </c:pt>
                <c:pt idx="9">
                  <c:v>6.5963060686015762E-2</c:v>
                </c:pt>
                <c:pt idx="10">
                  <c:v>5.9004843681197627E-2</c:v>
                </c:pt>
                <c:pt idx="11">
                  <c:v>3.9902280130293066E-2</c:v>
                </c:pt>
                <c:pt idx="12">
                  <c:v>4.9875311720698257E-2</c:v>
                </c:pt>
                <c:pt idx="13">
                  <c:v>1.8976897689769068E-2</c:v>
                </c:pt>
                <c:pt idx="14">
                  <c:v>1.538461538461533E-2</c:v>
                </c:pt>
                <c:pt idx="15">
                  <c:v>7.3610023492560739E-2</c:v>
                </c:pt>
                <c:pt idx="16">
                  <c:v>3.0482977038796433E-2</c:v>
                </c:pt>
                <c:pt idx="17">
                  <c:v>4.6963562753036481E-2</c:v>
                </c:pt>
                <c:pt idx="18">
                  <c:v>5.4873054873054938E-2</c:v>
                </c:pt>
                <c:pt idx="19">
                  <c:v>1.0576221735959068E-2</c:v>
                </c:pt>
              </c:numCache>
            </c:numRef>
          </c:val>
          <c:smooth val="0"/>
          <c:extLst>
            <c:ext xmlns:c16="http://schemas.microsoft.com/office/drawing/2014/chart" uri="{C3380CC4-5D6E-409C-BE32-E72D297353CC}">
              <c16:uniqueId val="{00000000-D54C-4FC8-96E4-F8FC2E144830}"/>
            </c:ext>
          </c:extLst>
        </c:ser>
        <c:dLbls>
          <c:showLegendKey val="0"/>
          <c:showVal val="0"/>
          <c:showCatName val="0"/>
          <c:showSerName val="0"/>
          <c:showPercent val="0"/>
          <c:showBubbleSize val="0"/>
        </c:dLbls>
        <c:smooth val="0"/>
        <c:axId val="323593528"/>
        <c:axId val="323594312"/>
      </c:lineChart>
      <c:catAx>
        <c:axId val="3235935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323594312"/>
        <c:crosses val="autoZero"/>
        <c:auto val="1"/>
        <c:lblAlgn val="ctr"/>
        <c:lblOffset val="100"/>
        <c:noMultiLvlLbl val="0"/>
      </c:catAx>
      <c:valAx>
        <c:axId val="323594312"/>
        <c:scaling>
          <c:orientation val="minMax"/>
        </c:scaling>
        <c:delete val="0"/>
        <c:axPos val="l"/>
        <c:majorGridlines>
          <c:spPr>
            <a:ln w="3175" cap="flat" cmpd="sng" algn="ctr">
              <a:solidFill>
                <a:srgbClr val="C0C0C0"/>
              </a:solidFill>
              <a:prstDash val="solid"/>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323593528"/>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Charts!$AA$35</c:f>
              <c:strCache>
                <c:ptCount val="1"/>
                <c:pt idx="0">
                  <c:v>Mobile Service revenues</c:v>
                </c:pt>
              </c:strCache>
            </c:strRef>
          </c:tx>
          <c:spPr>
            <a:solidFill>
              <a:srgbClr val="000080"/>
            </a:solidFill>
            <a:ln w="25400">
              <a:noFill/>
            </a:ln>
            <a:effectLst/>
          </c:spPr>
          <c:invertIfNegative val="0"/>
          <c:cat>
            <c:strRef>
              <c:f>Charts!$AB$34:$AU$34</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Charts!$AB$35:$AU$35</c:f>
              <c:numCache>
                <c:formatCode>#,##0_);\(#,##0\)</c:formatCode>
                <c:ptCount val="20"/>
                <c:pt idx="0">
                  <c:v>1698</c:v>
                </c:pt>
                <c:pt idx="1">
                  <c:v>1660</c:v>
                </c:pt>
                <c:pt idx="2">
                  <c:v>1673</c:v>
                </c:pt>
                <c:pt idx="3">
                  <c:v>1663</c:v>
                </c:pt>
                <c:pt idx="4">
                  <c:v>1664</c:v>
                </c:pt>
                <c:pt idx="5">
                  <c:v>1687</c:v>
                </c:pt>
                <c:pt idx="6">
                  <c:v>1715</c:v>
                </c:pt>
                <c:pt idx="7">
                  <c:v>1674</c:v>
                </c:pt>
                <c:pt idx="8">
                  <c:v>1698</c:v>
                </c:pt>
                <c:pt idx="9">
                  <c:v>1748</c:v>
                </c:pt>
                <c:pt idx="10">
                  <c:v>1768</c:v>
                </c:pt>
                <c:pt idx="11">
                  <c:v>1793</c:v>
                </c:pt>
                <c:pt idx="12">
                  <c:v>1784</c:v>
                </c:pt>
                <c:pt idx="13">
                  <c:v>1779</c:v>
                </c:pt>
                <c:pt idx="14">
                  <c:v>1806</c:v>
                </c:pt>
                <c:pt idx="15">
                  <c:v>1841</c:v>
                </c:pt>
                <c:pt idx="16">
                  <c:v>1839</c:v>
                </c:pt>
                <c:pt idx="17">
                  <c:v>1849</c:v>
                </c:pt>
                <c:pt idx="18">
                  <c:v>1853</c:v>
                </c:pt>
                <c:pt idx="19">
                  <c:v>1867</c:v>
                </c:pt>
              </c:numCache>
            </c:numRef>
          </c:val>
          <c:extLst>
            <c:ext xmlns:c16="http://schemas.microsoft.com/office/drawing/2014/chart" uri="{C3380CC4-5D6E-409C-BE32-E72D297353CC}">
              <c16:uniqueId val="{00000000-ECE4-45F0-8B37-35FA9938A42A}"/>
            </c:ext>
          </c:extLst>
        </c:ser>
        <c:dLbls>
          <c:showLegendKey val="0"/>
          <c:showVal val="0"/>
          <c:showCatName val="0"/>
          <c:showSerName val="0"/>
          <c:showPercent val="0"/>
          <c:showBubbleSize val="0"/>
        </c:dLbls>
        <c:gapWidth val="219"/>
        <c:overlap val="-27"/>
        <c:axId val="42672272"/>
        <c:axId val="42671096"/>
      </c:barChart>
      <c:catAx>
        <c:axId val="426722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42671096"/>
        <c:crosses val="autoZero"/>
        <c:auto val="1"/>
        <c:lblAlgn val="ctr"/>
        <c:lblOffset val="100"/>
        <c:noMultiLvlLbl val="0"/>
      </c:catAx>
      <c:valAx>
        <c:axId val="42671096"/>
        <c:scaling>
          <c:orientation val="minMax"/>
        </c:scaling>
        <c:delete val="0"/>
        <c:axPos val="l"/>
        <c:majorGridlines>
          <c:spPr>
            <a:ln w="3175" cap="flat" cmpd="sng" algn="ctr">
              <a:solidFill>
                <a:srgbClr val="C0C0C0"/>
              </a:solidFill>
              <a:prstDash val="solid"/>
              <a:round/>
            </a:ln>
            <a:effectLst/>
          </c:spPr>
        </c:majorGridlines>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42672272"/>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Charts!$AA$41</c:f>
              <c:strCache>
                <c:ptCount val="1"/>
                <c:pt idx="0">
                  <c:v>Mobile Service revenues (Growth % YoY)</c:v>
                </c:pt>
              </c:strCache>
            </c:strRef>
          </c:tx>
          <c:spPr>
            <a:ln w="25400" cap="rnd">
              <a:solidFill>
                <a:srgbClr val="333399"/>
              </a:solidFill>
              <a:prstDash val="solid"/>
              <a:round/>
            </a:ln>
            <a:effectLst/>
          </c:spPr>
          <c:marker>
            <c:symbol val="none"/>
          </c:marker>
          <c:cat>
            <c:strRef>
              <c:f>Charts!$AB$40:$AU$40</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Charts!$AB$41:$AU$41</c:f>
              <c:numCache>
                <c:formatCode>0.0%</c:formatCode>
                <c:ptCount val="20"/>
                <c:pt idx="0">
                  <c:v>-5.5091819699499167E-2</c:v>
                </c:pt>
                <c:pt idx="1">
                  <c:v>-5.8423142370958581E-2</c:v>
                </c:pt>
                <c:pt idx="2">
                  <c:v>-5.6401579244218847E-2</c:v>
                </c:pt>
                <c:pt idx="3">
                  <c:v>-6.1512415349887162E-2</c:v>
                </c:pt>
                <c:pt idx="4">
                  <c:v>-2.0023557126030656E-2</c:v>
                </c:pt>
                <c:pt idx="5">
                  <c:v>1.6265060240963747E-2</c:v>
                </c:pt>
                <c:pt idx="6">
                  <c:v>2.5104602510460206E-2</c:v>
                </c:pt>
                <c:pt idx="7">
                  <c:v>6.6145520144318404E-3</c:v>
                </c:pt>
                <c:pt idx="8">
                  <c:v>2.0432692307692291E-2</c:v>
                </c:pt>
                <c:pt idx="9">
                  <c:v>3.6158861885003057E-2</c:v>
                </c:pt>
                <c:pt idx="10">
                  <c:v>3.0903790087463578E-2</c:v>
                </c:pt>
                <c:pt idx="11">
                  <c:v>7.1087216248506557E-2</c:v>
                </c:pt>
                <c:pt idx="12">
                  <c:v>5.0647820965842083E-2</c:v>
                </c:pt>
                <c:pt idx="13">
                  <c:v>1.7734553775743622E-2</c:v>
                </c:pt>
                <c:pt idx="14">
                  <c:v>2.1493212669683182E-2</c:v>
                </c:pt>
                <c:pt idx="15">
                  <c:v>2.6770775237032973E-2</c:v>
                </c:pt>
                <c:pt idx="16">
                  <c:v>3.0829596412556004E-2</c:v>
                </c:pt>
                <c:pt idx="17">
                  <c:v>3.9347948285553658E-2</c:v>
                </c:pt>
                <c:pt idx="18">
                  <c:v>2.6024363233665637E-2</c:v>
                </c:pt>
                <c:pt idx="19">
                  <c:v>1.4122759369907589E-2</c:v>
                </c:pt>
              </c:numCache>
            </c:numRef>
          </c:val>
          <c:smooth val="0"/>
          <c:extLst>
            <c:ext xmlns:c16="http://schemas.microsoft.com/office/drawing/2014/chart" uri="{C3380CC4-5D6E-409C-BE32-E72D297353CC}">
              <c16:uniqueId val="{00000000-E410-49EB-A19C-89904EB06409}"/>
            </c:ext>
          </c:extLst>
        </c:ser>
        <c:dLbls>
          <c:showLegendKey val="0"/>
          <c:showVal val="0"/>
          <c:showCatName val="0"/>
          <c:showSerName val="0"/>
          <c:showPercent val="0"/>
          <c:showBubbleSize val="0"/>
        </c:dLbls>
        <c:smooth val="0"/>
        <c:axId val="330662744"/>
        <c:axId val="330665096"/>
      </c:lineChart>
      <c:catAx>
        <c:axId val="33066274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330665096"/>
        <c:crosses val="autoZero"/>
        <c:auto val="1"/>
        <c:lblAlgn val="ctr"/>
        <c:lblOffset val="100"/>
        <c:noMultiLvlLbl val="0"/>
      </c:catAx>
      <c:valAx>
        <c:axId val="330665096"/>
        <c:scaling>
          <c:orientation val="minMax"/>
        </c:scaling>
        <c:delete val="0"/>
        <c:axPos val="l"/>
        <c:majorGridlines>
          <c:spPr>
            <a:ln w="3175" cap="flat" cmpd="sng" algn="ctr">
              <a:solidFill>
                <a:srgbClr val="C0C0C0"/>
              </a:solidFill>
              <a:prstDash val="solid"/>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330662744"/>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Charts!$AA$54</c:f>
              <c:strCache>
                <c:ptCount val="1"/>
                <c:pt idx="0">
                  <c:v>Postpaid revenues</c:v>
                </c:pt>
              </c:strCache>
            </c:strRef>
          </c:tx>
          <c:spPr>
            <a:solidFill>
              <a:srgbClr val="000080"/>
            </a:solidFill>
            <a:ln w="25400">
              <a:noFill/>
            </a:ln>
            <a:effectLst/>
          </c:spPr>
          <c:invertIfNegative val="0"/>
          <c:cat>
            <c:strRef>
              <c:f>Charts!$AB$53:$AU$53</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Charts!$AB$54:$AU$54</c:f>
              <c:numCache>
                <c:formatCode>#,##0_);\(#,##0\)</c:formatCode>
                <c:ptCount val="20"/>
                <c:pt idx="0">
                  <c:v>984</c:v>
                </c:pt>
                <c:pt idx="1">
                  <c:v>974</c:v>
                </c:pt>
                <c:pt idx="2">
                  <c:v>956</c:v>
                </c:pt>
                <c:pt idx="3">
                  <c:v>967</c:v>
                </c:pt>
                <c:pt idx="4">
                  <c:v>974</c:v>
                </c:pt>
                <c:pt idx="5">
                  <c:v>1002</c:v>
                </c:pt>
                <c:pt idx="6">
                  <c:v>1030</c:v>
                </c:pt>
                <c:pt idx="7">
                  <c:v>1019</c:v>
                </c:pt>
                <c:pt idx="8">
                  <c:v>1041</c:v>
                </c:pt>
                <c:pt idx="9">
                  <c:v>1069</c:v>
                </c:pt>
                <c:pt idx="10">
                  <c:v>1092</c:v>
                </c:pt>
                <c:pt idx="11">
                  <c:v>1112</c:v>
                </c:pt>
                <c:pt idx="12">
                  <c:v>1123</c:v>
                </c:pt>
                <c:pt idx="13">
                  <c:v>1128</c:v>
                </c:pt>
                <c:pt idx="14">
                  <c:v>1154</c:v>
                </c:pt>
                <c:pt idx="15">
                  <c:v>1186</c:v>
                </c:pt>
                <c:pt idx="16">
                  <c:v>1190</c:v>
                </c:pt>
                <c:pt idx="17">
                  <c:v>1201</c:v>
                </c:pt>
                <c:pt idx="18">
                  <c:v>1212</c:v>
                </c:pt>
                <c:pt idx="19">
                  <c:v>1240</c:v>
                </c:pt>
              </c:numCache>
            </c:numRef>
          </c:val>
          <c:extLst>
            <c:ext xmlns:c16="http://schemas.microsoft.com/office/drawing/2014/chart" uri="{C3380CC4-5D6E-409C-BE32-E72D297353CC}">
              <c16:uniqueId val="{00000000-EE28-4D2C-A14D-1FC522050859}"/>
            </c:ext>
          </c:extLst>
        </c:ser>
        <c:ser>
          <c:idx val="1"/>
          <c:order val="1"/>
          <c:tx>
            <c:strRef>
              <c:f>Charts!$AA$55</c:f>
              <c:strCache>
                <c:ptCount val="1"/>
                <c:pt idx="0">
                  <c:v>Prepaid revenues</c:v>
                </c:pt>
              </c:strCache>
            </c:strRef>
          </c:tx>
          <c:spPr>
            <a:solidFill>
              <a:srgbClr val="9999FF"/>
            </a:solidFill>
            <a:ln w="25400">
              <a:noFill/>
            </a:ln>
            <a:effectLst/>
          </c:spPr>
          <c:invertIfNegative val="0"/>
          <c:cat>
            <c:strRef>
              <c:f>Charts!$AB$53:$AU$53</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Charts!$AB$55:$AU$55</c:f>
              <c:numCache>
                <c:formatCode>#,##0_);\(#,##0\)</c:formatCode>
                <c:ptCount val="20"/>
                <c:pt idx="0">
                  <c:v>714</c:v>
                </c:pt>
                <c:pt idx="1">
                  <c:v>686</c:v>
                </c:pt>
                <c:pt idx="2">
                  <c:v>717</c:v>
                </c:pt>
                <c:pt idx="3">
                  <c:v>696</c:v>
                </c:pt>
                <c:pt idx="4">
                  <c:v>690</c:v>
                </c:pt>
                <c:pt idx="5">
                  <c:v>685</c:v>
                </c:pt>
                <c:pt idx="6">
                  <c:v>685</c:v>
                </c:pt>
                <c:pt idx="7">
                  <c:v>655</c:v>
                </c:pt>
                <c:pt idx="8">
                  <c:v>657</c:v>
                </c:pt>
                <c:pt idx="9">
                  <c:v>679</c:v>
                </c:pt>
                <c:pt idx="10">
                  <c:v>676</c:v>
                </c:pt>
                <c:pt idx="11">
                  <c:v>681</c:v>
                </c:pt>
                <c:pt idx="12">
                  <c:v>661</c:v>
                </c:pt>
                <c:pt idx="13">
                  <c:v>651</c:v>
                </c:pt>
                <c:pt idx="14">
                  <c:v>652</c:v>
                </c:pt>
                <c:pt idx="15">
                  <c:v>655</c:v>
                </c:pt>
                <c:pt idx="16">
                  <c:v>649</c:v>
                </c:pt>
                <c:pt idx="17">
                  <c:v>648</c:v>
                </c:pt>
                <c:pt idx="18">
                  <c:v>641</c:v>
                </c:pt>
                <c:pt idx="19">
                  <c:v>627</c:v>
                </c:pt>
              </c:numCache>
            </c:numRef>
          </c:val>
          <c:extLst>
            <c:ext xmlns:c16="http://schemas.microsoft.com/office/drawing/2014/chart" uri="{C3380CC4-5D6E-409C-BE32-E72D297353CC}">
              <c16:uniqueId val="{00000001-EE28-4D2C-A14D-1FC522050859}"/>
            </c:ext>
          </c:extLst>
        </c:ser>
        <c:dLbls>
          <c:showLegendKey val="0"/>
          <c:showVal val="0"/>
          <c:showCatName val="0"/>
          <c:showSerName val="0"/>
          <c:showPercent val="0"/>
          <c:showBubbleSize val="0"/>
        </c:dLbls>
        <c:gapWidth val="150"/>
        <c:overlap val="100"/>
        <c:axId val="330661568"/>
        <c:axId val="330667840"/>
      </c:barChart>
      <c:catAx>
        <c:axId val="330661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330667840"/>
        <c:crosses val="autoZero"/>
        <c:auto val="1"/>
        <c:lblAlgn val="ctr"/>
        <c:lblOffset val="100"/>
        <c:noMultiLvlLbl val="0"/>
      </c:catAx>
      <c:valAx>
        <c:axId val="330667840"/>
        <c:scaling>
          <c:orientation val="minMax"/>
        </c:scaling>
        <c:delete val="0"/>
        <c:axPos val="l"/>
        <c:majorGridlines>
          <c:spPr>
            <a:ln w="3175" cap="flat" cmpd="sng" algn="ctr">
              <a:solidFill>
                <a:srgbClr val="C0C0C0"/>
              </a:solidFill>
              <a:prstDash val="solid"/>
              <a:round/>
            </a:ln>
            <a:effectLst/>
          </c:spPr>
        </c:majorGridlines>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330661568"/>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Charts!$AA$60</c:f>
              <c:strCache>
                <c:ptCount val="1"/>
                <c:pt idx="0">
                  <c:v>Prepaid share of mobile service revs</c:v>
                </c:pt>
              </c:strCache>
            </c:strRef>
          </c:tx>
          <c:spPr>
            <a:ln w="25400" cap="rnd">
              <a:solidFill>
                <a:srgbClr val="333399"/>
              </a:solidFill>
              <a:prstDash val="solid"/>
              <a:round/>
            </a:ln>
            <a:effectLst/>
          </c:spPr>
          <c:marker>
            <c:symbol val="none"/>
          </c:marker>
          <c:cat>
            <c:strRef>
              <c:f>Charts!$AB$59:$AU$59</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Charts!$AB$60:$AU$60</c:f>
              <c:numCache>
                <c:formatCode>0.0%</c:formatCode>
                <c:ptCount val="20"/>
                <c:pt idx="0">
                  <c:v>0.4204946996466431</c:v>
                </c:pt>
                <c:pt idx="1">
                  <c:v>0.41325301204819276</c:v>
                </c:pt>
                <c:pt idx="2">
                  <c:v>0.42857142857142855</c:v>
                </c:pt>
                <c:pt idx="3">
                  <c:v>0.41852074564040892</c:v>
                </c:pt>
                <c:pt idx="4">
                  <c:v>0.41466346153846156</c:v>
                </c:pt>
                <c:pt idx="5">
                  <c:v>0.40604623592175459</c:v>
                </c:pt>
                <c:pt idx="6">
                  <c:v>0.39941690962099125</c:v>
                </c:pt>
                <c:pt idx="7">
                  <c:v>0.39127837514934288</c:v>
                </c:pt>
                <c:pt idx="8">
                  <c:v>0.38692579505300351</c:v>
                </c:pt>
                <c:pt idx="9">
                  <c:v>0.38844393592677345</c:v>
                </c:pt>
                <c:pt idx="10">
                  <c:v>0.38235294117647056</c:v>
                </c:pt>
                <c:pt idx="11">
                  <c:v>0.37981037367540438</c:v>
                </c:pt>
                <c:pt idx="12">
                  <c:v>0.37051569506726456</c:v>
                </c:pt>
                <c:pt idx="13">
                  <c:v>0.36593591905564926</c:v>
                </c:pt>
                <c:pt idx="14">
                  <c:v>0.36101882613510522</c:v>
                </c:pt>
                <c:pt idx="15">
                  <c:v>0.35578489951113523</c:v>
                </c:pt>
                <c:pt idx="16">
                  <c:v>0.35290918977705277</c:v>
                </c:pt>
                <c:pt idx="17">
                  <c:v>0.35045970795024339</c:v>
                </c:pt>
                <c:pt idx="18">
                  <c:v>0.34592552617377226</c:v>
                </c:pt>
                <c:pt idx="19">
                  <c:v>0.33583288698446706</c:v>
                </c:pt>
              </c:numCache>
            </c:numRef>
          </c:val>
          <c:smooth val="0"/>
          <c:extLst>
            <c:ext xmlns:c16="http://schemas.microsoft.com/office/drawing/2014/chart" uri="{C3380CC4-5D6E-409C-BE32-E72D297353CC}">
              <c16:uniqueId val="{00000000-4DAB-4D60-84D4-77D20E4C0723}"/>
            </c:ext>
          </c:extLst>
        </c:ser>
        <c:ser>
          <c:idx val="1"/>
          <c:order val="1"/>
          <c:tx>
            <c:strRef>
              <c:f>Charts!$AA$61</c:f>
              <c:strCache>
                <c:ptCount val="1"/>
                <c:pt idx="0">
                  <c:v>Postpaid share of mobile service revs</c:v>
                </c:pt>
              </c:strCache>
            </c:strRef>
          </c:tx>
          <c:spPr>
            <a:ln w="25400" cap="rnd">
              <a:solidFill>
                <a:srgbClr val="99CCFF"/>
              </a:solidFill>
              <a:prstDash val="solid"/>
              <a:round/>
            </a:ln>
            <a:effectLst/>
          </c:spPr>
          <c:marker>
            <c:symbol val="none"/>
          </c:marker>
          <c:cat>
            <c:strRef>
              <c:f>Charts!$AB$59:$AU$59</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Charts!$AB$61:$AU$61</c:f>
              <c:numCache>
                <c:formatCode>0.0%</c:formatCode>
                <c:ptCount val="20"/>
                <c:pt idx="0">
                  <c:v>0.5795053003533569</c:v>
                </c:pt>
                <c:pt idx="1">
                  <c:v>0.58674698795180724</c:v>
                </c:pt>
                <c:pt idx="2">
                  <c:v>0.5714285714285714</c:v>
                </c:pt>
                <c:pt idx="3">
                  <c:v>0.58147925435959114</c:v>
                </c:pt>
                <c:pt idx="4">
                  <c:v>0.58533653846153844</c:v>
                </c:pt>
                <c:pt idx="5">
                  <c:v>0.59395376407824541</c:v>
                </c:pt>
                <c:pt idx="6">
                  <c:v>0.6005830903790087</c:v>
                </c:pt>
                <c:pt idx="7">
                  <c:v>0.60872162485065706</c:v>
                </c:pt>
                <c:pt idx="8">
                  <c:v>0.61307420494699649</c:v>
                </c:pt>
                <c:pt idx="9">
                  <c:v>0.61155606407322649</c:v>
                </c:pt>
                <c:pt idx="10">
                  <c:v>0.61764705882352944</c:v>
                </c:pt>
                <c:pt idx="11">
                  <c:v>0.62018962632459562</c:v>
                </c:pt>
                <c:pt idx="12">
                  <c:v>0.62948430493273544</c:v>
                </c:pt>
                <c:pt idx="13">
                  <c:v>0.63406408094435074</c:v>
                </c:pt>
                <c:pt idx="14">
                  <c:v>0.63898117386489484</c:v>
                </c:pt>
                <c:pt idx="15">
                  <c:v>0.64421510048886477</c:v>
                </c:pt>
                <c:pt idx="16">
                  <c:v>0.64709081022294723</c:v>
                </c:pt>
                <c:pt idx="17">
                  <c:v>0.64954029204975661</c:v>
                </c:pt>
                <c:pt idx="18">
                  <c:v>0.65407447382622774</c:v>
                </c:pt>
                <c:pt idx="19">
                  <c:v>0.66416711301553299</c:v>
                </c:pt>
              </c:numCache>
            </c:numRef>
          </c:val>
          <c:smooth val="0"/>
          <c:extLst>
            <c:ext xmlns:c16="http://schemas.microsoft.com/office/drawing/2014/chart" uri="{C3380CC4-5D6E-409C-BE32-E72D297353CC}">
              <c16:uniqueId val="{00000001-4DAB-4D60-84D4-77D20E4C0723}"/>
            </c:ext>
          </c:extLst>
        </c:ser>
        <c:dLbls>
          <c:showLegendKey val="0"/>
          <c:showVal val="0"/>
          <c:showCatName val="0"/>
          <c:showSerName val="0"/>
          <c:showPercent val="0"/>
          <c:showBubbleSize val="0"/>
        </c:dLbls>
        <c:smooth val="0"/>
        <c:axId val="330660392"/>
        <c:axId val="330663920"/>
      </c:lineChart>
      <c:catAx>
        <c:axId val="33066039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330663920"/>
        <c:crosses val="autoZero"/>
        <c:auto val="1"/>
        <c:lblAlgn val="ctr"/>
        <c:lblOffset val="100"/>
        <c:noMultiLvlLbl val="0"/>
      </c:catAx>
      <c:valAx>
        <c:axId val="330663920"/>
        <c:scaling>
          <c:orientation val="minMax"/>
          <c:min val="0.30000000000000004"/>
        </c:scaling>
        <c:delete val="0"/>
        <c:axPos val="l"/>
        <c:majorGridlines>
          <c:spPr>
            <a:ln w="3175" cap="flat" cmpd="sng" algn="ctr">
              <a:solidFill>
                <a:srgbClr val="C0C0C0"/>
              </a:solidFill>
              <a:prstDash val="solid"/>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330660392"/>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3" Type="http://schemas.openxmlformats.org/officeDocument/2006/relationships/chart" Target="../charts/chart14.xml"/><Relationship Id="rId18" Type="http://schemas.openxmlformats.org/officeDocument/2006/relationships/chart" Target="../charts/chart19.xml"/><Relationship Id="rId26" Type="http://schemas.openxmlformats.org/officeDocument/2006/relationships/chart" Target="../charts/chart27.xml"/><Relationship Id="rId3" Type="http://schemas.openxmlformats.org/officeDocument/2006/relationships/chart" Target="../charts/chart4.xml"/><Relationship Id="rId21" Type="http://schemas.openxmlformats.org/officeDocument/2006/relationships/chart" Target="../charts/chart22.xml"/><Relationship Id="rId34" Type="http://schemas.openxmlformats.org/officeDocument/2006/relationships/chart" Target="../charts/chart35.xml"/><Relationship Id="rId7" Type="http://schemas.openxmlformats.org/officeDocument/2006/relationships/chart" Target="../charts/chart8.xml"/><Relationship Id="rId12" Type="http://schemas.openxmlformats.org/officeDocument/2006/relationships/chart" Target="../charts/chart13.xml"/><Relationship Id="rId17" Type="http://schemas.openxmlformats.org/officeDocument/2006/relationships/chart" Target="../charts/chart18.xml"/><Relationship Id="rId25" Type="http://schemas.openxmlformats.org/officeDocument/2006/relationships/chart" Target="../charts/chart26.xml"/><Relationship Id="rId33" Type="http://schemas.openxmlformats.org/officeDocument/2006/relationships/chart" Target="../charts/chart34.xml"/><Relationship Id="rId2" Type="http://schemas.openxmlformats.org/officeDocument/2006/relationships/chart" Target="../charts/chart3.xml"/><Relationship Id="rId16" Type="http://schemas.openxmlformats.org/officeDocument/2006/relationships/chart" Target="../charts/chart17.xml"/><Relationship Id="rId20" Type="http://schemas.openxmlformats.org/officeDocument/2006/relationships/chart" Target="../charts/chart21.xml"/><Relationship Id="rId29" Type="http://schemas.openxmlformats.org/officeDocument/2006/relationships/chart" Target="../charts/chart30.xml"/><Relationship Id="rId1" Type="http://schemas.openxmlformats.org/officeDocument/2006/relationships/chart" Target="../charts/chart2.xml"/><Relationship Id="rId6" Type="http://schemas.openxmlformats.org/officeDocument/2006/relationships/chart" Target="../charts/chart7.xml"/><Relationship Id="rId11" Type="http://schemas.openxmlformats.org/officeDocument/2006/relationships/chart" Target="../charts/chart12.xml"/><Relationship Id="rId24" Type="http://schemas.openxmlformats.org/officeDocument/2006/relationships/chart" Target="../charts/chart25.xml"/><Relationship Id="rId32" Type="http://schemas.openxmlformats.org/officeDocument/2006/relationships/chart" Target="../charts/chart33.xml"/><Relationship Id="rId5" Type="http://schemas.openxmlformats.org/officeDocument/2006/relationships/chart" Target="../charts/chart6.xml"/><Relationship Id="rId15" Type="http://schemas.openxmlformats.org/officeDocument/2006/relationships/chart" Target="../charts/chart16.xml"/><Relationship Id="rId23" Type="http://schemas.openxmlformats.org/officeDocument/2006/relationships/chart" Target="../charts/chart24.xml"/><Relationship Id="rId28" Type="http://schemas.openxmlformats.org/officeDocument/2006/relationships/chart" Target="../charts/chart29.xml"/><Relationship Id="rId10" Type="http://schemas.openxmlformats.org/officeDocument/2006/relationships/chart" Target="../charts/chart11.xml"/><Relationship Id="rId19" Type="http://schemas.openxmlformats.org/officeDocument/2006/relationships/chart" Target="../charts/chart20.xml"/><Relationship Id="rId31" Type="http://schemas.openxmlformats.org/officeDocument/2006/relationships/chart" Target="../charts/chart32.xml"/><Relationship Id="rId4" Type="http://schemas.openxmlformats.org/officeDocument/2006/relationships/chart" Target="../charts/chart5.xml"/><Relationship Id="rId9" Type="http://schemas.openxmlformats.org/officeDocument/2006/relationships/chart" Target="../charts/chart10.xml"/><Relationship Id="rId14" Type="http://schemas.openxmlformats.org/officeDocument/2006/relationships/chart" Target="../charts/chart15.xml"/><Relationship Id="rId22" Type="http://schemas.openxmlformats.org/officeDocument/2006/relationships/chart" Target="../charts/chart23.xml"/><Relationship Id="rId27" Type="http://schemas.openxmlformats.org/officeDocument/2006/relationships/chart" Target="../charts/chart28.xml"/><Relationship Id="rId30" Type="http://schemas.openxmlformats.org/officeDocument/2006/relationships/chart" Target="../charts/chart31.xml"/><Relationship Id="rId35" Type="http://schemas.openxmlformats.org/officeDocument/2006/relationships/chart" Target="../charts/chart36.xml"/><Relationship Id="rId8"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12122</xdr:colOff>
      <xdr:row>6</xdr:row>
      <xdr:rowOff>184405</xdr:rowOff>
    </xdr:from>
    <xdr:to>
      <xdr:col>15</xdr:col>
      <xdr:colOff>1755321</xdr:colOff>
      <xdr:row>23</xdr:row>
      <xdr:rowOff>40822</xdr:rowOff>
    </xdr:to>
    <xdr:graphicFrame macro="">
      <xdr:nvGraphicFramePr>
        <xdr:cNvPr id="4" name="Chart 3">
          <a:extLst>
            <a:ext uri="{FF2B5EF4-FFF2-40B4-BE49-F238E27FC236}">
              <a16:creationId xmlns:a16="http://schemas.microsoft.com/office/drawing/2014/main" id="{747A6347-D503-4316-B5D5-63458E210C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122465</xdr:colOff>
      <xdr:row>178</xdr:row>
      <xdr:rowOff>13606</xdr:rowOff>
    </xdr:from>
    <xdr:to>
      <xdr:col>9</xdr:col>
      <xdr:colOff>244928</xdr:colOff>
      <xdr:row>193</xdr:row>
      <xdr:rowOff>27214</xdr:rowOff>
    </xdr:to>
    <xdr:graphicFrame macro="">
      <xdr:nvGraphicFramePr>
        <xdr:cNvPr id="37" name="Chart 36">
          <a:extLst>
            <a:ext uri="{FF2B5EF4-FFF2-40B4-BE49-F238E27FC236}">
              <a16:creationId xmlns:a16="http://schemas.microsoft.com/office/drawing/2014/main" id="{00000000-0008-0000-04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571499</xdr:colOff>
      <xdr:row>178</xdr:row>
      <xdr:rowOff>40821</xdr:rowOff>
    </xdr:from>
    <xdr:to>
      <xdr:col>19</xdr:col>
      <xdr:colOff>530677</xdr:colOff>
      <xdr:row>192</xdr:row>
      <xdr:rowOff>204107</xdr:rowOff>
    </xdr:to>
    <xdr:graphicFrame macro="">
      <xdr:nvGraphicFramePr>
        <xdr:cNvPr id="38" name="Chart 37">
          <a:extLst>
            <a:ext uri="{FF2B5EF4-FFF2-40B4-BE49-F238E27FC236}">
              <a16:creationId xmlns:a16="http://schemas.microsoft.com/office/drawing/2014/main" id="{00000000-0008-0000-04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619124</xdr:colOff>
      <xdr:row>11</xdr:row>
      <xdr:rowOff>186416</xdr:rowOff>
    </xdr:from>
    <xdr:to>
      <xdr:col>9</xdr:col>
      <xdr:colOff>163286</xdr:colOff>
      <xdr:row>26</xdr:row>
      <xdr:rowOff>163285</xdr:rowOff>
    </xdr:to>
    <xdr:graphicFrame macro="">
      <xdr:nvGraphicFramePr>
        <xdr:cNvPr id="2" name="Chart 1">
          <a:extLst>
            <a:ext uri="{FF2B5EF4-FFF2-40B4-BE49-F238E27FC236}">
              <a16:creationId xmlns:a16="http://schemas.microsoft.com/office/drawing/2014/main" id="{B937D083-DBA4-4CDF-B873-2D48FA542A7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401408</xdr:colOff>
      <xdr:row>11</xdr:row>
      <xdr:rowOff>145594</xdr:rowOff>
    </xdr:from>
    <xdr:to>
      <xdr:col>19</xdr:col>
      <xdr:colOff>176892</xdr:colOff>
      <xdr:row>26</xdr:row>
      <xdr:rowOff>122464</xdr:rowOff>
    </xdr:to>
    <xdr:graphicFrame macro="">
      <xdr:nvGraphicFramePr>
        <xdr:cNvPr id="3" name="Chart 2">
          <a:extLst>
            <a:ext uri="{FF2B5EF4-FFF2-40B4-BE49-F238E27FC236}">
              <a16:creationId xmlns:a16="http://schemas.microsoft.com/office/drawing/2014/main" id="{FE5AED44-2E68-4F20-B2A7-B16E05B60EA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401409</xdr:colOff>
      <xdr:row>30</xdr:row>
      <xdr:rowOff>131989</xdr:rowOff>
    </xdr:from>
    <xdr:to>
      <xdr:col>8</xdr:col>
      <xdr:colOff>571499</xdr:colOff>
      <xdr:row>45</xdr:row>
      <xdr:rowOff>68036</xdr:rowOff>
    </xdr:to>
    <xdr:graphicFrame macro="">
      <xdr:nvGraphicFramePr>
        <xdr:cNvPr id="4" name="Chart 3">
          <a:extLst>
            <a:ext uri="{FF2B5EF4-FFF2-40B4-BE49-F238E27FC236}">
              <a16:creationId xmlns:a16="http://schemas.microsoft.com/office/drawing/2014/main" id="{5B0613FF-8C5C-49DF-932D-1EFE88A5388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10</xdr:col>
      <xdr:colOff>238123</xdr:colOff>
      <xdr:row>30</xdr:row>
      <xdr:rowOff>172808</xdr:rowOff>
    </xdr:from>
    <xdr:to>
      <xdr:col>18</xdr:col>
      <xdr:colOff>571499</xdr:colOff>
      <xdr:row>44</xdr:row>
      <xdr:rowOff>190499</xdr:rowOff>
    </xdr:to>
    <xdr:graphicFrame macro="">
      <xdr:nvGraphicFramePr>
        <xdr:cNvPr id="5" name="Chart 4">
          <a:extLst>
            <a:ext uri="{FF2B5EF4-FFF2-40B4-BE49-F238E27FC236}">
              <a16:creationId xmlns:a16="http://schemas.microsoft.com/office/drawing/2014/main" id="{F0A45E0F-1C14-480D-AC69-AD4701D18A2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510267</xdr:colOff>
      <xdr:row>49</xdr:row>
      <xdr:rowOff>131988</xdr:rowOff>
    </xdr:from>
    <xdr:to>
      <xdr:col>8</xdr:col>
      <xdr:colOff>503463</xdr:colOff>
      <xdr:row>62</xdr:row>
      <xdr:rowOff>108856</xdr:rowOff>
    </xdr:to>
    <xdr:graphicFrame macro="">
      <xdr:nvGraphicFramePr>
        <xdr:cNvPr id="7" name="Chart 6">
          <a:extLst>
            <a:ext uri="{FF2B5EF4-FFF2-40B4-BE49-F238E27FC236}">
              <a16:creationId xmlns:a16="http://schemas.microsoft.com/office/drawing/2014/main" id="{F47B9ABC-8F01-4787-92DE-79ABEEF714D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10</xdr:col>
      <xdr:colOff>469445</xdr:colOff>
      <xdr:row>49</xdr:row>
      <xdr:rowOff>213629</xdr:rowOff>
    </xdr:from>
    <xdr:to>
      <xdr:col>19</xdr:col>
      <xdr:colOff>176892</xdr:colOff>
      <xdr:row>63</xdr:row>
      <xdr:rowOff>54428</xdr:rowOff>
    </xdr:to>
    <xdr:graphicFrame macro="">
      <xdr:nvGraphicFramePr>
        <xdr:cNvPr id="8" name="Chart 7">
          <a:extLst>
            <a:ext uri="{FF2B5EF4-FFF2-40B4-BE49-F238E27FC236}">
              <a16:creationId xmlns:a16="http://schemas.microsoft.com/office/drawing/2014/main" id="{BCF90A33-2717-4181-A9B6-F82320C0386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700766</xdr:colOff>
      <xdr:row>67</xdr:row>
      <xdr:rowOff>159201</xdr:rowOff>
    </xdr:from>
    <xdr:to>
      <xdr:col>9</xdr:col>
      <xdr:colOff>81643</xdr:colOff>
      <xdr:row>81</xdr:row>
      <xdr:rowOff>136071</xdr:rowOff>
    </xdr:to>
    <xdr:graphicFrame macro="">
      <xdr:nvGraphicFramePr>
        <xdr:cNvPr id="9" name="Chart 8">
          <a:extLst>
            <a:ext uri="{FF2B5EF4-FFF2-40B4-BE49-F238E27FC236}">
              <a16:creationId xmlns:a16="http://schemas.microsoft.com/office/drawing/2014/main" id="{4A6A13D8-2D83-474A-8711-2C0FB68A71A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401409</xdr:colOff>
      <xdr:row>67</xdr:row>
      <xdr:rowOff>213631</xdr:rowOff>
    </xdr:from>
    <xdr:to>
      <xdr:col>19</xdr:col>
      <xdr:colOff>190499</xdr:colOff>
      <xdr:row>81</xdr:row>
      <xdr:rowOff>204107</xdr:rowOff>
    </xdr:to>
    <xdr:graphicFrame macro="">
      <xdr:nvGraphicFramePr>
        <xdr:cNvPr id="10" name="Chart 9">
          <a:extLst>
            <a:ext uri="{FF2B5EF4-FFF2-40B4-BE49-F238E27FC236}">
              <a16:creationId xmlns:a16="http://schemas.microsoft.com/office/drawing/2014/main" id="{E562D80D-6FF5-41E7-B8AD-70F931319F6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741587</xdr:colOff>
      <xdr:row>85</xdr:row>
      <xdr:rowOff>145594</xdr:rowOff>
    </xdr:from>
    <xdr:to>
      <xdr:col>9</xdr:col>
      <xdr:colOff>272143</xdr:colOff>
      <xdr:row>100</xdr:row>
      <xdr:rowOff>149677</xdr:rowOff>
    </xdr:to>
    <xdr:graphicFrame macro="">
      <xdr:nvGraphicFramePr>
        <xdr:cNvPr id="11" name="Chart 10">
          <a:extLst>
            <a:ext uri="{FF2B5EF4-FFF2-40B4-BE49-F238E27FC236}">
              <a16:creationId xmlns:a16="http://schemas.microsoft.com/office/drawing/2014/main" id="{F3DD1EAE-C2AD-44A0-A251-605986FCFC8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10</xdr:col>
      <xdr:colOff>523872</xdr:colOff>
      <xdr:row>85</xdr:row>
      <xdr:rowOff>172809</xdr:rowOff>
    </xdr:from>
    <xdr:to>
      <xdr:col>19</xdr:col>
      <xdr:colOff>136070</xdr:colOff>
      <xdr:row>100</xdr:row>
      <xdr:rowOff>136071</xdr:rowOff>
    </xdr:to>
    <xdr:graphicFrame macro="">
      <xdr:nvGraphicFramePr>
        <xdr:cNvPr id="14" name="Chart 13">
          <a:extLst>
            <a:ext uri="{FF2B5EF4-FFF2-40B4-BE49-F238E27FC236}">
              <a16:creationId xmlns:a16="http://schemas.microsoft.com/office/drawing/2014/main" id="{048C3B2C-8EF6-4769-8DCB-147661C475A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483052</xdr:colOff>
      <xdr:row>105</xdr:row>
      <xdr:rowOff>172809</xdr:rowOff>
    </xdr:from>
    <xdr:to>
      <xdr:col>9</xdr:col>
      <xdr:colOff>68035</xdr:colOff>
      <xdr:row>120</xdr:row>
      <xdr:rowOff>136072</xdr:rowOff>
    </xdr:to>
    <xdr:graphicFrame macro="">
      <xdr:nvGraphicFramePr>
        <xdr:cNvPr id="15" name="Chart 14">
          <a:extLst>
            <a:ext uri="{FF2B5EF4-FFF2-40B4-BE49-F238E27FC236}">
              <a16:creationId xmlns:a16="http://schemas.microsoft.com/office/drawing/2014/main" id="{F4333047-F146-44C8-A364-5FD6874D4F4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10</xdr:col>
      <xdr:colOff>346981</xdr:colOff>
      <xdr:row>106</xdr:row>
      <xdr:rowOff>23130</xdr:rowOff>
    </xdr:from>
    <xdr:to>
      <xdr:col>19</xdr:col>
      <xdr:colOff>217714</xdr:colOff>
      <xdr:row>120</xdr:row>
      <xdr:rowOff>163285</xdr:rowOff>
    </xdr:to>
    <xdr:graphicFrame macro="">
      <xdr:nvGraphicFramePr>
        <xdr:cNvPr id="16" name="Chart 15">
          <a:extLst>
            <a:ext uri="{FF2B5EF4-FFF2-40B4-BE49-F238E27FC236}">
              <a16:creationId xmlns:a16="http://schemas.microsoft.com/office/drawing/2014/main" id="{5EFAFDD8-8D0B-433F-B821-B23279063C8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306160</xdr:colOff>
      <xdr:row>123</xdr:row>
      <xdr:rowOff>91165</xdr:rowOff>
    </xdr:from>
    <xdr:to>
      <xdr:col>8</xdr:col>
      <xdr:colOff>557893</xdr:colOff>
      <xdr:row>137</xdr:row>
      <xdr:rowOff>68034</xdr:rowOff>
    </xdr:to>
    <xdr:graphicFrame macro="">
      <xdr:nvGraphicFramePr>
        <xdr:cNvPr id="17" name="Chart 16">
          <a:extLst>
            <a:ext uri="{FF2B5EF4-FFF2-40B4-BE49-F238E27FC236}">
              <a16:creationId xmlns:a16="http://schemas.microsoft.com/office/drawing/2014/main" id="{B28C3D23-CA6A-49E2-A683-799DCFC14AE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10</xdr:col>
      <xdr:colOff>292552</xdr:colOff>
      <xdr:row>123</xdr:row>
      <xdr:rowOff>200024</xdr:rowOff>
    </xdr:from>
    <xdr:to>
      <xdr:col>19</xdr:col>
      <xdr:colOff>204107</xdr:colOff>
      <xdr:row>137</xdr:row>
      <xdr:rowOff>217713</xdr:rowOff>
    </xdr:to>
    <xdr:graphicFrame macro="">
      <xdr:nvGraphicFramePr>
        <xdr:cNvPr id="18" name="Chart 17">
          <a:extLst>
            <a:ext uri="{FF2B5EF4-FFF2-40B4-BE49-F238E27FC236}">
              <a16:creationId xmlns:a16="http://schemas.microsoft.com/office/drawing/2014/main" id="{D9D628E8-5318-4D7C-B24E-F0581C02369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360588</xdr:colOff>
      <xdr:row>140</xdr:row>
      <xdr:rowOff>159203</xdr:rowOff>
    </xdr:from>
    <xdr:to>
      <xdr:col>9</xdr:col>
      <xdr:colOff>40822</xdr:colOff>
      <xdr:row>153</xdr:row>
      <xdr:rowOff>190499</xdr:rowOff>
    </xdr:to>
    <xdr:graphicFrame macro="">
      <xdr:nvGraphicFramePr>
        <xdr:cNvPr id="19" name="Chart 18">
          <a:extLst>
            <a:ext uri="{FF2B5EF4-FFF2-40B4-BE49-F238E27FC236}">
              <a16:creationId xmlns:a16="http://schemas.microsoft.com/office/drawing/2014/main" id="{FC887409-11C1-48AD-B0A1-CEEAC7D7951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10</xdr:col>
      <xdr:colOff>374195</xdr:colOff>
      <xdr:row>140</xdr:row>
      <xdr:rowOff>200025</xdr:rowOff>
    </xdr:from>
    <xdr:to>
      <xdr:col>19</xdr:col>
      <xdr:colOff>95250</xdr:colOff>
      <xdr:row>154</xdr:row>
      <xdr:rowOff>176893</xdr:rowOff>
    </xdr:to>
    <xdr:graphicFrame macro="">
      <xdr:nvGraphicFramePr>
        <xdr:cNvPr id="20" name="Chart 19">
          <a:extLst>
            <a:ext uri="{FF2B5EF4-FFF2-40B4-BE49-F238E27FC236}">
              <a16:creationId xmlns:a16="http://schemas.microsoft.com/office/drawing/2014/main" id="{8BE1062E-73FB-4E56-A4B6-85CD0CEEBE9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387802</xdr:colOff>
      <xdr:row>157</xdr:row>
      <xdr:rowOff>227238</xdr:rowOff>
    </xdr:from>
    <xdr:to>
      <xdr:col>8</xdr:col>
      <xdr:colOff>272143</xdr:colOff>
      <xdr:row>172</xdr:row>
      <xdr:rowOff>217713</xdr:rowOff>
    </xdr:to>
    <xdr:graphicFrame macro="">
      <xdr:nvGraphicFramePr>
        <xdr:cNvPr id="21" name="Chart 20">
          <a:extLst>
            <a:ext uri="{FF2B5EF4-FFF2-40B4-BE49-F238E27FC236}">
              <a16:creationId xmlns:a16="http://schemas.microsoft.com/office/drawing/2014/main" id="{5B802114-C6FE-450D-9AED-832A61F07BD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9</xdr:col>
      <xdr:colOff>537480</xdr:colOff>
      <xdr:row>158</xdr:row>
      <xdr:rowOff>36738</xdr:rowOff>
    </xdr:from>
    <xdr:to>
      <xdr:col>19</xdr:col>
      <xdr:colOff>163284</xdr:colOff>
      <xdr:row>172</xdr:row>
      <xdr:rowOff>95250</xdr:rowOff>
    </xdr:to>
    <xdr:graphicFrame macro="">
      <xdr:nvGraphicFramePr>
        <xdr:cNvPr id="22" name="Chart 21">
          <a:extLst>
            <a:ext uri="{FF2B5EF4-FFF2-40B4-BE49-F238E27FC236}">
              <a16:creationId xmlns:a16="http://schemas.microsoft.com/office/drawing/2014/main" id="{E0340EBB-B371-459C-A710-C4714CC44BB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0</xdr:col>
      <xdr:colOff>755195</xdr:colOff>
      <xdr:row>196</xdr:row>
      <xdr:rowOff>77560</xdr:rowOff>
    </xdr:from>
    <xdr:to>
      <xdr:col>8</xdr:col>
      <xdr:colOff>244927</xdr:colOff>
      <xdr:row>210</xdr:row>
      <xdr:rowOff>204107</xdr:rowOff>
    </xdr:to>
    <xdr:graphicFrame macro="">
      <xdr:nvGraphicFramePr>
        <xdr:cNvPr id="23" name="Chart 22">
          <a:extLst>
            <a:ext uri="{FF2B5EF4-FFF2-40B4-BE49-F238E27FC236}">
              <a16:creationId xmlns:a16="http://schemas.microsoft.com/office/drawing/2014/main" id="{107B3D79-155D-42B3-A55C-F6862034823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10</xdr:col>
      <xdr:colOff>102050</xdr:colOff>
      <xdr:row>196</xdr:row>
      <xdr:rowOff>91168</xdr:rowOff>
    </xdr:from>
    <xdr:to>
      <xdr:col>19</xdr:col>
      <xdr:colOff>108856</xdr:colOff>
      <xdr:row>210</xdr:row>
      <xdr:rowOff>217714</xdr:rowOff>
    </xdr:to>
    <xdr:graphicFrame macro="">
      <xdr:nvGraphicFramePr>
        <xdr:cNvPr id="24" name="Chart 23">
          <a:extLst>
            <a:ext uri="{FF2B5EF4-FFF2-40B4-BE49-F238E27FC236}">
              <a16:creationId xmlns:a16="http://schemas.microsoft.com/office/drawing/2014/main" id="{BCE83AB8-6FF0-45ED-921F-5BB89B35B20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0</xdr:col>
      <xdr:colOff>401410</xdr:colOff>
      <xdr:row>213</xdr:row>
      <xdr:rowOff>104774</xdr:rowOff>
    </xdr:from>
    <xdr:to>
      <xdr:col>9</xdr:col>
      <xdr:colOff>27214</xdr:colOff>
      <xdr:row>229</xdr:row>
      <xdr:rowOff>149678</xdr:rowOff>
    </xdr:to>
    <xdr:graphicFrame macro="">
      <xdr:nvGraphicFramePr>
        <xdr:cNvPr id="25" name="Chart 24">
          <a:extLst>
            <a:ext uri="{FF2B5EF4-FFF2-40B4-BE49-F238E27FC236}">
              <a16:creationId xmlns:a16="http://schemas.microsoft.com/office/drawing/2014/main" id="{28E27CD9-3BCF-4B29-A102-01766EF3C79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10</xdr:col>
      <xdr:colOff>210909</xdr:colOff>
      <xdr:row>213</xdr:row>
      <xdr:rowOff>118381</xdr:rowOff>
    </xdr:from>
    <xdr:to>
      <xdr:col>19</xdr:col>
      <xdr:colOff>0</xdr:colOff>
      <xdr:row>228</xdr:row>
      <xdr:rowOff>176893</xdr:rowOff>
    </xdr:to>
    <xdr:graphicFrame macro="">
      <xdr:nvGraphicFramePr>
        <xdr:cNvPr id="44" name="Chart 43">
          <a:extLst>
            <a:ext uri="{FF2B5EF4-FFF2-40B4-BE49-F238E27FC236}">
              <a16:creationId xmlns:a16="http://schemas.microsoft.com/office/drawing/2014/main" id="{3CBF02F7-3EA8-43EF-9996-E8DEE950327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0</xdr:col>
      <xdr:colOff>387802</xdr:colOff>
      <xdr:row>232</xdr:row>
      <xdr:rowOff>118384</xdr:rowOff>
    </xdr:from>
    <xdr:to>
      <xdr:col>8</xdr:col>
      <xdr:colOff>111125</xdr:colOff>
      <xdr:row>245</xdr:row>
      <xdr:rowOff>79376</xdr:rowOff>
    </xdr:to>
    <xdr:graphicFrame macro="">
      <xdr:nvGraphicFramePr>
        <xdr:cNvPr id="45" name="Chart 44">
          <a:extLst>
            <a:ext uri="{FF2B5EF4-FFF2-40B4-BE49-F238E27FC236}">
              <a16:creationId xmlns:a16="http://schemas.microsoft.com/office/drawing/2014/main" id="{339C6792-7F68-44E7-98A5-D948775FAAD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0</xdr:col>
      <xdr:colOff>455837</xdr:colOff>
      <xdr:row>249</xdr:row>
      <xdr:rowOff>131987</xdr:rowOff>
    </xdr:from>
    <xdr:to>
      <xdr:col>8</xdr:col>
      <xdr:colOff>449036</xdr:colOff>
      <xdr:row>262</xdr:row>
      <xdr:rowOff>149679</xdr:rowOff>
    </xdr:to>
    <xdr:graphicFrame macro="">
      <xdr:nvGraphicFramePr>
        <xdr:cNvPr id="46" name="Chart 45">
          <a:extLst>
            <a:ext uri="{FF2B5EF4-FFF2-40B4-BE49-F238E27FC236}">
              <a16:creationId xmlns:a16="http://schemas.microsoft.com/office/drawing/2014/main" id="{6D07FE81-0990-4AB6-BF77-75EAD1A6CF1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10</xdr:col>
      <xdr:colOff>374195</xdr:colOff>
      <xdr:row>249</xdr:row>
      <xdr:rowOff>77560</xdr:rowOff>
    </xdr:from>
    <xdr:to>
      <xdr:col>19</xdr:col>
      <xdr:colOff>-1</xdr:colOff>
      <xdr:row>262</xdr:row>
      <xdr:rowOff>136072</xdr:rowOff>
    </xdr:to>
    <xdr:graphicFrame macro="">
      <xdr:nvGraphicFramePr>
        <xdr:cNvPr id="47" name="Chart 46">
          <a:extLst>
            <a:ext uri="{FF2B5EF4-FFF2-40B4-BE49-F238E27FC236}">
              <a16:creationId xmlns:a16="http://schemas.microsoft.com/office/drawing/2014/main" id="{943C83C6-4805-4A5F-82E1-86CE38AED7A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0</xdr:col>
      <xdr:colOff>346980</xdr:colOff>
      <xdr:row>265</xdr:row>
      <xdr:rowOff>131987</xdr:rowOff>
    </xdr:from>
    <xdr:to>
      <xdr:col>8</xdr:col>
      <xdr:colOff>557892</xdr:colOff>
      <xdr:row>279</xdr:row>
      <xdr:rowOff>13607</xdr:rowOff>
    </xdr:to>
    <xdr:graphicFrame macro="">
      <xdr:nvGraphicFramePr>
        <xdr:cNvPr id="48" name="Chart 47">
          <a:extLst>
            <a:ext uri="{FF2B5EF4-FFF2-40B4-BE49-F238E27FC236}">
              <a16:creationId xmlns:a16="http://schemas.microsoft.com/office/drawing/2014/main" id="{1899D24B-734A-4877-8851-97D460360A3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10</xdr:col>
      <xdr:colOff>183694</xdr:colOff>
      <xdr:row>265</xdr:row>
      <xdr:rowOff>213630</xdr:rowOff>
    </xdr:from>
    <xdr:to>
      <xdr:col>19</xdr:col>
      <xdr:colOff>204106</xdr:colOff>
      <xdr:row>279</xdr:row>
      <xdr:rowOff>176891</xdr:rowOff>
    </xdr:to>
    <xdr:graphicFrame macro="">
      <xdr:nvGraphicFramePr>
        <xdr:cNvPr id="52" name="Chart 51">
          <a:extLst>
            <a:ext uri="{FF2B5EF4-FFF2-40B4-BE49-F238E27FC236}">
              <a16:creationId xmlns:a16="http://schemas.microsoft.com/office/drawing/2014/main" id="{7B055427-376C-48BC-8DF8-EF85280A2EB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0</xdr:col>
      <xdr:colOff>496658</xdr:colOff>
      <xdr:row>282</xdr:row>
      <xdr:rowOff>131987</xdr:rowOff>
    </xdr:from>
    <xdr:to>
      <xdr:col>8</xdr:col>
      <xdr:colOff>557892</xdr:colOff>
      <xdr:row>296</xdr:row>
      <xdr:rowOff>40820</xdr:rowOff>
    </xdr:to>
    <xdr:graphicFrame macro="">
      <xdr:nvGraphicFramePr>
        <xdr:cNvPr id="53" name="Chart 52">
          <a:extLst>
            <a:ext uri="{FF2B5EF4-FFF2-40B4-BE49-F238E27FC236}">
              <a16:creationId xmlns:a16="http://schemas.microsoft.com/office/drawing/2014/main" id="{1BA59EC1-C9C7-4ECB-BA4B-155569B2DB8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10</xdr:col>
      <xdr:colOff>238124</xdr:colOff>
      <xdr:row>282</xdr:row>
      <xdr:rowOff>104774</xdr:rowOff>
    </xdr:from>
    <xdr:to>
      <xdr:col>19</xdr:col>
      <xdr:colOff>136071</xdr:colOff>
      <xdr:row>295</xdr:row>
      <xdr:rowOff>190500</xdr:rowOff>
    </xdr:to>
    <xdr:graphicFrame macro="">
      <xdr:nvGraphicFramePr>
        <xdr:cNvPr id="54" name="Chart 53">
          <a:extLst>
            <a:ext uri="{FF2B5EF4-FFF2-40B4-BE49-F238E27FC236}">
              <a16:creationId xmlns:a16="http://schemas.microsoft.com/office/drawing/2014/main" id="{E4BB99E6-84FF-4982-958F-D0E80552AB4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0</xdr:col>
      <xdr:colOff>428624</xdr:colOff>
      <xdr:row>298</xdr:row>
      <xdr:rowOff>200024</xdr:rowOff>
    </xdr:from>
    <xdr:to>
      <xdr:col>9</xdr:col>
      <xdr:colOff>68036</xdr:colOff>
      <xdr:row>312</xdr:row>
      <xdr:rowOff>176893</xdr:rowOff>
    </xdr:to>
    <xdr:graphicFrame macro="">
      <xdr:nvGraphicFramePr>
        <xdr:cNvPr id="55" name="Chart 54">
          <a:extLst>
            <a:ext uri="{FF2B5EF4-FFF2-40B4-BE49-F238E27FC236}">
              <a16:creationId xmlns:a16="http://schemas.microsoft.com/office/drawing/2014/main" id="{26C39A04-7C56-42F1-B9F8-78D0C5196E9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10</xdr:col>
      <xdr:colOff>306159</xdr:colOff>
      <xdr:row>298</xdr:row>
      <xdr:rowOff>186417</xdr:rowOff>
    </xdr:from>
    <xdr:to>
      <xdr:col>19</xdr:col>
      <xdr:colOff>122464</xdr:colOff>
      <xdr:row>312</xdr:row>
      <xdr:rowOff>163286</xdr:rowOff>
    </xdr:to>
    <xdr:graphicFrame macro="">
      <xdr:nvGraphicFramePr>
        <xdr:cNvPr id="58" name="Chart 57">
          <a:extLst>
            <a:ext uri="{FF2B5EF4-FFF2-40B4-BE49-F238E27FC236}">
              <a16:creationId xmlns:a16="http://schemas.microsoft.com/office/drawing/2014/main" id="{5463B949-C0C2-430E-A753-75DCBDA7E97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0</xdr:col>
      <xdr:colOff>537481</xdr:colOff>
      <xdr:row>315</xdr:row>
      <xdr:rowOff>200023</xdr:rowOff>
    </xdr:from>
    <xdr:to>
      <xdr:col>8</xdr:col>
      <xdr:colOff>544286</xdr:colOff>
      <xdr:row>330</xdr:row>
      <xdr:rowOff>122464</xdr:rowOff>
    </xdr:to>
    <xdr:graphicFrame macro="">
      <xdr:nvGraphicFramePr>
        <xdr:cNvPr id="59" name="Chart 58">
          <a:extLst>
            <a:ext uri="{FF2B5EF4-FFF2-40B4-BE49-F238E27FC236}">
              <a16:creationId xmlns:a16="http://schemas.microsoft.com/office/drawing/2014/main" id="{F5FF6AFB-1B4D-4EBE-A969-4D9339E3F6A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10</xdr:col>
      <xdr:colOff>210910</xdr:colOff>
      <xdr:row>316</xdr:row>
      <xdr:rowOff>104774</xdr:rowOff>
    </xdr:from>
    <xdr:to>
      <xdr:col>18</xdr:col>
      <xdr:colOff>489856</xdr:colOff>
      <xdr:row>330</xdr:row>
      <xdr:rowOff>68035</xdr:rowOff>
    </xdr:to>
    <xdr:graphicFrame macro="">
      <xdr:nvGraphicFramePr>
        <xdr:cNvPr id="60" name="Chart 59">
          <a:extLst>
            <a:ext uri="{FF2B5EF4-FFF2-40B4-BE49-F238E27FC236}">
              <a16:creationId xmlns:a16="http://schemas.microsoft.com/office/drawing/2014/main" id="{1753D878-E172-4105-A341-961AC40F6B4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newstreet1385.sharepoint.com/sites/Corp/Shared/TELECOMS/STOCKS/EMEA/Malaysia/01%20Maxis/02%20Model/Maxis.xlsx" TargetMode="External"/><Relationship Id="rId1" Type="http://schemas.openxmlformats.org/officeDocument/2006/relationships/externalLinkPath" Target="Maxi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__FDSCACHE__"/>
      <sheetName val="Cover"/>
      <sheetName val="DCF and Valuation"/>
      <sheetName val="Income Statement"/>
      <sheetName val="Balance Sheet and Cflow"/>
      <sheetName val="Anna"/>
      <sheetName val="Umobile"/>
      <sheetName val="Forward valuation"/>
      <sheetName val="Snap charts"/>
      <sheetName val="Link for Telenor"/>
      <sheetName val="Lisbon - New"/>
      <sheetName val="Disclaimer"/>
    </sheetNames>
    <sheetDataSet>
      <sheetData sheetId="0"/>
      <sheetData sheetId="1"/>
      <sheetData sheetId="2"/>
      <sheetData sheetId="3">
        <row r="13">
          <cell r="CI13">
            <v>9166.2852194545703</v>
          </cell>
        </row>
        <row r="17">
          <cell r="CI17">
            <v>9032.3534322400774</v>
          </cell>
        </row>
        <row r="31">
          <cell r="CI31">
            <v>10904.154172576371</v>
          </cell>
        </row>
        <row r="33">
          <cell r="CI33">
            <v>10718.099912506083</v>
          </cell>
        </row>
        <row r="38">
          <cell r="CI38">
            <v>4296.5338349015092</v>
          </cell>
        </row>
        <row r="42">
          <cell r="CI42">
            <v>4230.5605640152962</v>
          </cell>
        </row>
        <row r="49">
          <cell r="CI49">
            <v>1199.4569589834009</v>
          </cell>
        </row>
        <row r="460">
          <cell r="CI460">
            <v>1606.8390591363232</v>
          </cell>
        </row>
      </sheetData>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81"/>
  <sheetViews>
    <sheetView tabSelected="1" topLeftCell="B1" zoomScale="70" zoomScaleNormal="70" workbookViewId="0">
      <pane ySplit="2" topLeftCell="A3" activePane="bottomLeft" state="frozen"/>
      <selection pane="bottomLeft" activeCell="R21" sqref="R21"/>
    </sheetView>
  </sheetViews>
  <sheetFormatPr defaultColWidth="9.21875" defaultRowHeight="16.2" x14ac:dyDescent="0.35"/>
  <cols>
    <col min="1" max="2" width="9.21875" style="6"/>
    <col min="3" max="3" width="53.21875" style="6" customWidth="1"/>
    <col min="4" max="7" width="9.21875" style="6"/>
    <col min="8" max="8" width="14.5546875" style="6" customWidth="1"/>
    <col min="9" max="15" width="9.21875" style="6"/>
    <col min="16" max="16" width="31.77734375" style="6" customWidth="1"/>
    <col min="17" max="16384" width="9.21875" style="6"/>
  </cols>
  <sheetData>
    <row r="1" spans="1:8" s="1" customFormat="1" ht="22.2" x14ac:dyDescent="0.45">
      <c r="A1" s="3" t="s">
        <v>36</v>
      </c>
    </row>
    <row r="2" spans="1:8" s="1" customFormat="1" x14ac:dyDescent="0.35">
      <c r="A2" s="1" t="s">
        <v>141</v>
      </c>
    </row>
    <row r="4" spans="1:8" ht="17.25" customHeight="1" x14ac:dyDescent="0.35">
      <c r="A4" s="6" t="s">
        <v>26</v>
      </c>
      <c r="B4" s="10" t="s">
        <v>27</v>
      </c>
      <c r="C4" s="6" t="s">
        <v>109</v>
      </c>
      <c r="H4" s="11" t="s">
        <v>201</v>
      </c>
    </row>
    <row r="5" spans="1:8" ht="17.25" customHeight="1" x14ac:dyDescent="0.35">
      <c r="B5" s="10" t="s">
        <v>28</v>
      </c>
      <c r="C5" s="6" t="s">
        <v>110</v>
      </c>
    </row>
    <row r="6" spans="1:8" ht="17.25" customHeight="1" x14ac:dyDescent="0.35">
      <c r="B6" s="10" t="s">
        <v>29</v>
      </c>
      <c r="C6" s="6" t="s">
        <v>49</v>
      </c>
      <c r="H6" s="6" t="s">
        <v>340</v>
      </c>
    </row>
    <row r="7" spans="1:8" ht="17.25" customHeight="1" x14ac:dyDescent="0.35">
      <c r="B7" s="10" t="s">
        <v>30</v>
      </c>
      <c r="C7" s="6" t="s">
        <v>37</v>
      </c>
    </row>
    <row r="8" spans="1:8" ht="17.25" customHeight="1" x14ac:dyDescent="0.35"/>
    <row r="9" spans="1:8" ht="17.25" customHeight="1" x14ac:dyDescent="0.35"/>
    <row r="10" spans="1:8" ht="17.25" customHeight="1" x14ac:dyDescent="0.35">
      <c r="B10" s="12" t="s">
        <v>38</v>
      </c>
    </row>
    <row r="11" spans="1:8" ht="17.25" customHeight="1" x14ac:dyDescent="0.35">
      <c r="A11" s="5"/>
      <c r="B11" s="4"/>
      <c r="C11" s="6" t="s">
        <v>142</v>
      </c>
    </row>
    <row r="12" spans="1:8" ht="17.25" customHeight="1" x14ac:dyDescent="0.35">
      <c r="B12" s="1"/>
      <c r="C12" s="6" t="s">
        <v>39</v>
      </c>
    </row>
    <row r="13" spans="1:8" ht="17.25" customHeight="1" x14ac:dyDescent="0.35">
      <c r="B13" s="9"/>
      <c r="C13" s="6" t="s">
        <v>190</v>
      </c>
    </row>
    <row r="14" spans="1:8" ht="17.25" customHeight="1" x14ac:dyDescent="0.35"/>
    <row r="15" spans="1:8" ht="17.25" customHeight="1" x14ac:dyDescent="0.35"/>
    <row r="16" spans="1:8" ht="17.25" customHeight="1" x14ac:dyDescent="0.35"/>
    <row r="17" spans="8:27" ht="17.25" customHeight="1" x14ac:dyDescent="0.35"/>
    <row r="18" spans="8:27" ht="17.25" customHeight="1" x14ac:dyDescent="0.35"/>
    <row r="19" spans="8:27" ht="17.25" customHeight="1" x14ac:dyDescent="0.35"/>
    <row r="20" spans="8:27" ht="17.25" customHeight="1" x14ac:dyDescent="0.35"/>
    <row r="21" spans="8:27" ht="17.25" customHeight="1" x14ac:dyDescent="0.35"/>
    <row r="22" spans="8:27" ht="17.25" customHeight="1" x14ac:dyDescent="0.35"/>
    <row r="23" spans="8:27" ht="17.25" customHeight="1" x14ac:dyDescent="0.35"/>
    <row r="24" spans="8:27" ht="21.75" customHeight="1" x14ac:dyDescent="0.35"/>
    <row r="25" spans="8:27" ht="30.75" customHeight="1" x14ac:dyDescent="0.35">
      <c r="H25" s="294" t="s">
        <v>432</v>
      </c>
    </row>
    <row r="26" spans="8:27" ht="17.25" customHeight="1" x14ac:dyDescent="0.35">
      <c r="H26" s="320" t="s">
        <v>433</v>
      </c>
      <c r="I26" s="320"/>
      <c r="J26" s="320"/>
      <c r="K26" s="320"/>
      <c r="L26" s="320"/>
      <c r="M26" s="320"/>
      <c r="N26" s="320"/>
      <c r="O26" s="320"/>
      <c r="P26" s="320"/>
    </row>
    <row r="27" spans="8:27" ht="17.25" customHeight="1" x14ac:dyDescent="0.35">
      <c r="H27" s="320"/>
      <c r="I27" s="320"/>
      <c r="J27" s="320"/>
      <c r="K27" s="320"/>
      <c r="L27" s="320"/>
      <c r="M27" s="320"/>
      <c r="N27" s="320"/>
      <c r="O27" s="320"/>
      <c r="P27" s="320"/>
    </row>
    <row r="28" spans="8:27" ht="17.25" customHeight="1" x14ac:dyDescent="0.35">
      <c r="H28" s="320"/>
      <c r="I28" s="320"/>
      <c r="J28" s="320"/>
      <c r="K28" s="320"/>
      <c r="L28" s="320"/>
      <c r="M28" s="320"/>
      <c r="N28" s="320"/>
      <c r="O28" s="320"/>
      <c r="P28" s="320"/>
    </row>
    <row r="29" spans="8:27" ht="17.25" customHeight="1" x14ac:dyDescent="0.35">
      <c r="H29" s="320"/>
      <c r="I29" s="320"/>
      <c r="J29" s="320"/>
      <c r="K29" s="320"/>
      <c r="L29" s="320"/>
      <c r="M29" s="320"/>
      <c r="N29" s="320"/>
      <c r="O29" s="320"/>
      <c r="P29" s="320"/>
    </row>
    <row r="30" spans="8:27" ht="17.25" customHeight="1" x14ac:dyDescent="0.35">
      <c r="H30" s="320"/>
      <c r="I30" s="320"/>
      <c r="J30" s="320"/>
      <c r="K30" s="320"/>
      <c r="L30" s="320"/>
      <c r="M30" s="320"/>
      <c r="N30" s="320"/>
      <c r="O30" s="320"/>
      <c r="P30" s="320"/>
      <c r="AA30" s="34"/>
    </row>
    <row r="31" spans="8:27" ht="17.25" customHeight="1" x14ac:dyDescent="0.35">
      <c r="H31" s="320"/>
      <c r="I31" s="320"/>
      <c r="J31" s="320"/>
      <c r="K31" s="320"/>
      <c r="L31" s="320"/>
      <c r="M31" s="320"/>
      <c r="N31" s="320"/>
      <c r="O31" s="320"/>
      <c r="P31" s="320"/>
      <c r="AA31" s="33"/>
    </row>
    <row r="32" spans="8:27" ht="17.25" customHeight="1" x14ac:dyDescent="0.35">
      <c r="H32" s="320"/>
      <c r="I32" s="320"/>
      <c r="J32" s="320"/>
      <c r="K32" s="320"/>
      <c r="L32" s="320"/>
      <c r="M32" s="320"/>
      <c r="N32" s="320"/>
      <c r="O32" s="320"/>
      <c r="P32" s="320"/>
    </row>
    <row r="33" spans="8:16" ht="271.5" customHeight="1" x14ac:dyDescent="0.35">
      <c r="H33" s="320"/>
      <c r="I33" s="320"/>
      <c r="J33" s="320"/>
      <c r="K33" s="320"/>
      <c r="L33" s="320"/>
      <c r="M33" s="320"/>
      <c r="N33" s="320"/>
      <c r="O33" s="320"/>
      <c r="P33" s="320"/>
    </row>
    <row r="34" spans="8:16" ht="207.75" customHeight="1" x14ac:dyDescent="0.35">
      <c r="H34" s="320"/>
      <c r="I34" s="320"/>
      <c r="J34" s="320"/>
      <c r="K34" s="320"/>
      <c r="L34" s="320"/>
      <c r="M34" s="320"/>
      <c r="N34" s="320"/>
      <c r="O34" s="320"/>
      <c r="P34" s="320"/>
    </row>
    <row r="35" spans="8:16" ht="17.25" customHeight="1" x14ac:dyDescent="0.35">
      <c r="H35" s="6" t="s">
        <v>196</v>
      </c>
    </row>
    <row r="36" spans="8:16" ht="17.25" customHeight="1" x14ac:dyDescent="0.35">
      <c r="H36" s="6" t="s">
        <v>196</v>
      </c>
    </row>
    <row r="37" spans="8:16" ht="17.25" customHeight="1" x14ac:dyDescent="0.35">
      <c r="H37" s="6" t="s">
        <v>196</v>
      </c>
    </row>
    <row r="38" spans="8:16" ht="17.25" customHeight="1" x14ac:dyDescent="0.35">
      <c r="H38" s="6" t="s">
        <v>196</v>
      </c>
    </row>
    <row r="39" spans="8:16" ht="17.25" customHeight="1" x14ac:dyDescent="0.35">
      <c r="H39" s="6" t="s">
        <v>196</v>
      </c>
    </row>
    <row r="40" spans="8:16" ht="17.25" customHeight="1" x14ac:dyDescent="0.35"/>
    <row r="41" spans="8:16" ht="17.25" customHeight="1" x14ac:dyDescent="0.35">
      <c r="H41" s="6" t="s">
        <v>196</v>
      </c>
    </row>
    <row r="42" spans="8:16" ht="17.25" customHeight="1" x14ac:dyDescent="0.35"/>
    <row r="43" spans="8:16" ht="17.25" customHeight="1" x14ac:dyDescent="0.35"/>
    <row r="44" spans="8:16" ht="17.25" customHeight="1" x14ac:dyDescent="0.35"/>
    <row r="45" spans="8:16" ht="17.25" customHeight="1" x14ac:dyDescent="0.35"/>
    <row r="46" spans="8:16" ht="17.25" customHeight="1" x14ac:dyDescent="0.35"/>
    <row r="47" spans="8:16" ht="17.25" customHeight="1" x14ac:dyDescent="0.35"/>
    <row r="48" spans="8:16" ht="17.25" customHeight="1" x14ac:dyDescent="0.35"/>
    <row r="49" ht="17.25" customHeight="1" x14ac:dyDescent="0.35"/>
    <row r="50" ht="17.25" customHeight="1" x14ac:dyDescent="0.35"/>
    <row r="51" ht="17.25" customHeight="1" x14ac:dyDescent="0.35"/>
    <row r="52" ht="17.25" customHeight="1" x14ac:dyDescent="0.35"/>
    <row r="53" ht="17.25" customHeight="1" x14ac:dyDescent="0.35"/>
    <row r="54" ht="17.25" customHeight="1" x14ac:dyDescent="0.35"/>
    <row r="55" ht="17.25" customHeight="1" x14ac:dyDescent="0.35"/>
    <row r="56" ht="17.25" customHeight="1" x14ac:dyDescent="0.35"/>
    <row r="57" ht="17.25" customHeight="1" x14ac:dyDescent="0.35"/>
    <row r="58" ht="17.25" customHeight="1" x14ac:dyDescent="0.35"/>
    <row r="59" ht="17.25" customHeight="1" x14ac:dyDescent="0.35"/>
    <row r="60" ht="17.25" customHeight="1" x14ac:dyDescent="0.35"/>
    <row r="61" ht="17.25" customHeight="1" x14ac:dyDescent="0.35"/>
    <row r="62" ht="17.25" customHeight="1" x14ac:dyDescent="0.35"/>
    <row r="63" ht="17.25" customHeight="1" x14ac:dyDescent="0.35"/>
    <row r="64" ht="17.25" customHeight="1" x14ac:dyDescent="0.35"/>
    <row r="65" ht="17.25" customHeight="1" x14ac:dyDescent="0.35"/>
    <row r="66" ht="17.25" customHeight="1" x14ac:dyDescent="0.35"/>
    <row r="67" ht="17.25" customHeight="1" x14ac:dyDescent="0.35"/>
    <row r="68" ht="17.25" customHeight="1" x14ac:dyDescent="0.35"/>
    <row r="69" ht="17.25" customHeight="1" x14ac:dyDescent="0.35"/>
    <row r="70" ht="17.25" customHeight="1" x14ac:dyDescent="0.35"/>
    <row r="71" ht="17.25" customHeight="1" x14ac:dyDescent="0.35"/>
    <row r="72" ht="17.25" customHeight="1" x14ac:dyDescent="0.35"/>
    <row r="73" ht="12" customHeight="1" x14ac:dyDescent="0.35"/>
    <row r="74" ht="12" customHeight="1" x14ac:dyDescent="0.35"/>
    <row r="75" ht="12" customHeight="1" x14ac:dyDescent="0.35"/>
    <row r="76" ht="12" customHeight="1" x14ac:dyDescent="0.35"/>
    <row r="77" ht="12" customHeight="1" x14ac:dyDescent="0.35"/>
    <row r="78" ht="12" customHeight="1" x14ac:dyDescent="0.35"/>
    <row r="79" ht="12" customHeight="1" x14ac:dyDescent="0.35"/>
    <row r="80" ht="12" customHeight="1" x14ac:dyDescent="0.35"/>
    <row r="81" ht="12" customHeight="1" x14ac:dyDescent="0.35"/>
  </sheetData>
  <mergeCells count="1">
    <mergeCell ref="H26:P34"/>
  </mergeCells>
  <hyperlinks>
    <hyperlink ref="B4" location="'Profit and Loss Highlights'!A1" display="1)" xr:uid="{00000000-0004-0000-0000-000000000000}"/>
    <hyperlink ref="B5" location="'Key Balance Sheet &amp; CFlow Items'!A1" display="2)" xr:uid="{00000000-0004-0000-0000-000001000000}"/>
    <hyperlink ref="B6" location="'Domestic Mobile Operations'!A1" display="3)" xr:uid="{00000000-0004-0000-0000-000002000000}"/>
    <hyperlink ref="B7" location="Charts!A1" display="4)" xr:uid="{00000000-0004-0000-0000-000003000000}"/>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W217"/>
  <sheetViews>
    <sheetView zoomScale="85" zoomScaleNormal="85" zoomScaleSheetLayoutView="85" workbookViewId="0">
      <pane xSplit="2" ySplit="3" topLeftCell="AU4" activePane="bottomRight" state="frozen"/>
      <selection activeCell="BB14" sqref="BB14"/>
      <selection pane="topRight" activeCell="BB14" sqref="BB14"/>
      <selection pane="bottomLeft" activeCell="BB14" sqref="BB14"/>
      <selection pane="bottomRight" activeCell="BD31" sqref="BD31"/>
    </sheetView>
  </sheetViews>
  <sheetFormatPr defaultColWidth="9.21875" defaultRowHeight="14.55" customHeight="1" outlineLevelRow="1" outlineLevelCol="1" x14ac:dyDescent="0.3"/>
  <cols>
    <col min="1" max="1" width="3.77734375" style="38" customWidth="1"/>
    <col min="2" max="2" width="56.77734375" style="38" customWidth="1"/>
    <col min="3" max="22" width="14.21875" style="38" customWidth="1" outlineLevel="1"/>
    <col min="23" max="23" width="14" style="38" customWidth="1" outlineLevel="1"/>
    <col min="24" max="28" width="14.21875" style="38" customWidth="1" outlineLevel="1"/>
    <col min="29" max="30" width="14.21875" style="106" customWidth="1" outlineLevel="1"/>
    <col min="31" max="54" width="14.21875" style="106" customWidth="1"/>
    <col min="55" max="55" width="7.44140625" style="38" customWidth="1"/>
    <col min="56" max="56" width="30.5546875" style="38" customWidth="1"/>
    <col min="57" max="57" width="12.44140625" bestFit="1" customWidth="1"/>
    <col min="58" max="58" width="12.77734375" customWidth="1"/>
    <col min="61" max="61" width="10.44140625" bestFit="1" customWidth="1"/>
    <col min="73" max="16384" width="9.21875" style="38"/>
  </cols>
  <sheetData>
    <row r="1" spans="1:72" s="37" customFormat="1" ht="14.55" customHeight="1" x14ac:dyDescent="0.3">
      <c r="A1" s="35" t="s">
        <v>17</v>
      </c>
      <c r="B1" s="35"/>
      <c r="C1" s="36" t="s">
        <v>212</v>
      </c>
      <c r="D1" s="36" t="s">
        <v>213</v>
      </c>
      <c r="E1" s="36" t="s">
        <v>214</v>
      </c>
      <c r="F1" s="36" t="s">
        <v>215</v>
      </c>
      <c r="G1" s="36" t="s">
        <v>216</v>
      </c>
      <c r="H1" s="36" t="s">
        <v>217</v>
      </c>
      <c r="I1" s="36" t="s">
        <v>218</v>
      </c>
      <c r="J1" s="36" t="s">
        <v>219</v>
      </c>
      <c r="K1" s="36" t="s">
        <v>220</v>
      </c>
      <c r="L1" s="36" t="s">
        <v>221</v>
      </c>
      <c r="M1" s="36" t="s">
        <v>222</v>
      </c>
      <c r="N1" s="36" t="s">
        <v>223</v>
      </c>
      <c r="O1" s="36" t="s">
        <v>224</v>
      </c>
      <c r="P1" s="36" t="s">
        <v>225</v>
      </c>
      <c r="Q1" s="36" t="s">
        <v>226</v>
      </c>
      <c r="R1" s="36" t="s">
        <v>227</v>
      </c>
      <c r="S1" s="36" t="s">
        <v>228</v>
      </c>
      <c r="T1" s="36" t="s">
        <v>229</v>
      </c>
      <c r="U1" s="36" t="s">
        <v>230</v>
      </c>
      <c r="V1" s="36" t="s">
        <v>231</v>
      </c>
      <c r="W1" s="36" t="s">
        <v>232</v>
      </c>
      <c r="X1" s="36" t="s">
        <v>233</v>
      </c>
      <c r="Y1" s="36" t="s">
        <v>234</v>
      </c>
      <c r="Z1" s="36" t="s">
        <v>235</v>
      </c>
      <c r="AA1" s="36" t="s">
        <v>236</v>
      </c>
      <c r="AB1" s="36" t="s">
        <v>237</v>
      </c>
      <c r="AC1" s="36" t="s">
        <v>238</v>
      </c>
      <c r="AD1" s="36" t="s">
        <v>239</v>
      </c>
      <c r="AE1" s="36" t="s">
        <v>240</v>
      </c>
      <c r="AF1" s="36" t="s">
        <v>241</v>
      </c>
      <c r="AG1" s="36" t="s">
        <v>242</v>
      </c>
      <c r="AH1" s="36" t="s">
        <v>243</v>
      </c>
      <c r="AI1" s="36" t="s">
        <v>244</v>
      </c>
      <c r="AJ1" s="36" t="s">
        <v>245</v>
      </c>
      <c r="AK1" s="36" t="s">
        <v>246</v>
      </c>
      <c r="AL1" s="36" t="s">
        <v>247</v>
      </c>
      <c r="AM1" s="36" t="s">
        <v>248</v>
      </c>
      <c r="AN1" s="36" t="s">
        <v>249</v>
      </c>
      <c r="AO1" s="36" t="s">
        <v>250</v>
      </c>
      <c r="AP1" s="36" t="s">
        <v>251</v>
      </c>
      <c r="AQ1" s="36" t="s">
        <v>252</v>
      </c>
      <c r="AR1" s="36" t="s">
        <v>253</v>
      </c>
      <c r="AS1" s="36" t="s">
        <v>254</v>
      </c>
      <c r="AT1" s="36" t="s">
        <v>255</v>
      </c>
      <c r="AU1" s="36" t="s">
        <v>256</v>
      </c>
      <c r="AV1" s="36" t="s">
        <v>257</v>
      </c>
      <c r="AW1" s="36" t="s">
        <v>258</v>
      </c>
      <c r="AX1" s="36" t="s">
        <v>259</v>
      </c>
      <c r="AY1" s="36" t="s">
        <v>260</v>
      </c>
      <c r="AZ1" s="36" t="s">
        <v>261</v>
      </c>
      <c r="BA1" s="36" t="s">
        <v>262</v>
      </c>
      <c r="BB1" s="36" t="s">
        <v>263</v>
      </c>
      <c r="BC1" s="35"/>
      <c r="BD1" s="35" t="s">
        <v>18</v>
      </c>
      <c r="BE1"/>
      <c r="BF1"/>
      <c r="BG1"/>
      <c r="BH1"/>
      <c r="BI1"/>
      <c r="BJ1"/>
      <c r="BK1"/>
      <c r="BL1"/>
      <c r="BM1"/>
      <c r="BN1"/>
      <c r="BO1"/>
      <c r="BP1"/>
      <c r="BQ1"/>
      <c r="BR1"/>
      <c r="BS1"/>
      <c r="BT1"/>
    </row>
    <row r="2" spans="1:72" s="37" customFormat="1" ht="14.55" customHeight="1" x14ac:dyDescent="0.3">
      <c r="A2" s="35"/>
      <c r="B2" s="35" t="s">
        <v>353</v>
      </c>
      <c r="C2" s="267">
        <v>40999</v>
      </c>
      <c r="D2" s="268">
        <f>EOMONTH(C2,3)</f>
        <v>41090</v>
      </c>
      <c r="E2" s="268">
        <f t="shared" ref="E2:BB2" si="0">EOMONTH(D2,3)</f>
        <v>41182</v>
      </c>
      <c r="F2" s="268">
        <f t="shared" si="0"/>
        <v>41274</v>
      </c>
      <c r="G2" s="268">
        <f t="shared" si="0"/>
        <v>41364</v>
      </c>
      <c r="H2" s="268">
        <f t="shared" si="0"/>
        <v>41455</v>
      </c>
      <c r="I2" s="268">
        <f t="shared" si="0"/>
        <v>41547</v>
      </c>
      <c r="J2" s="268">
        <f t="shared" si="0"/>
        <v>41639</v>
      </c>
      <c r="K2" s="268">
        <f t="shared" si="0"/>
        <v>41729</v>
      </c>
      <c r="L2" s="268">
        <f t="shared" si="0"/>
        <v>41820</v>
      </c>
      <c r="M2" s="268">
        <f t="shared" si="0"/>
        <v>41912</v>
      </c>
      <c r="N2" s="268">
        <f t="shared" si="0"/>
        <v>42004</v>
      </c>
      <c r="O2" s="268">
        <f t="shared" si="0"/>
        <v>42094</v>
      </c>
      <c r="P2" s="268">
        <f t="shared" si="0"/>
        <v>42185</v>
      </c>
      <c r="Q2" s="268">
        <f t="shared" si="0"/>
        <v>42277</v>
      </c>
      <c r="R2" s="268">
        <f t="shared" si="0"/>
        <v>42369</v>
      </c>
      <c r="S2" s="268">
        <f t="shared" si="0"/>
        <v>42460</v>
      </c>
      <c r="T2" s="268">
        <f t="shared" si="0"/>
        <v>42551</v>
      </c>
      <c r="U2" s="268">
        <f t="shared" si="0"/>
        <v>42643</v>
      </c>
      <c r="V2" s="268">
        <f t="shared" si="0"/>
        <v>42735</v>
      </c>
      <c r="W2" s="268">
        <f t="shared" si="0"/>
        <v>42825</v>
      </c>
      <c r="X2" s="268">
        <f t="shared" si="0"/>
        <v>42916</v>
      </c>
      <c r="Y2" s="268">
        <f t="shared" si="0"/>
        <v>43008</v>
      </c>
      <c r="Z2" s="268">
        <f t="shared" si="0"/>
        <v>43100</v>
      </c>
      <c r="AA2" s="268">
        <f t="shared" si="0"/>
        <v>43190</v>
      </c>
      <c r="AB2" s="268">
        <f t="shared" si="0"/>
        <v>43281</v>
      </c>
      <c r="AC2" s="268">
        <f t="shared" si="0"/>
        <v>43373</v>
      </c>
      <c r="AD2" s="268">
        <f t="shared" si="0"/>
        <v>43465</v>
      </c>
      <c r="AE2" s="268">
        <f t="shared" si="0"/>
        <v>43555</v>
      </c>
      <c r="AF2" s="268">
        <f t="shared" si="0"/>
        <v>43646</v>
      </c>
      <c r="AG2" s="268">
        <f t="shared" si="0"/>
        <v>43738</v>
      </c>
      <c r="AH2" s="268">
        <f t="shared" si="0"/>
        <v>43830</v>
      </c>
      <c r="AI2" s="268">
        <f t="shared" si="0"/>
        <v>43921</v>
      </c>
      <c r="AJ2" s="268">
        <f t="shared" si="0"/>
        <v>44012</v>
      </c>
      <c r="AK2" s="268">
        <f t="shared" si="0"/>
        <v>44104</v>
      </c>
      <c r="AL2" s="268">
        <f t="shared" si="0"/>
        <v>44196</v>
      </c>
      <c r="AM2" s="268">
        <f t="shared" si="0"/>
        <v>44286</v>
      </c>
      <c r="AN2" s="268">
        <f t="shared" si="0"/>
        <v>44377</v>
      </c>
      <c r="AO2" s="268">
        <f t="shared" si="0"/>
        <v>44469</v>
      </c>
      <c r="AP2" s="268">
        <f t="shared" si="0"/>
        <v>44561</v>
      </c>
      <c r="AQ2" s="268">
        <f t="shared" si="0"/>
        <v>44651</v>
      </c>
      <c r="AR2" s="268">
        <f t="shared" si="0"/>
        <v>44742</v>
      </c>
      <c r="AS2" s="268">
        <f t="shared" si="0"/>
        <v>44834</v>
      </c>
      <c r="AT2" s="268">
        <f t="shared" si="0"/>
        <v>44926</v>
      </c>
      <c r="AU2" s="268">
        <f t="shared" si="0"/>
        <v>45016</v>
      </c>
      <c r="AV2" s="268">
        <f t="shared" si="0"/>
        <v>45107</v>
      </c>
      <c r="AW2" s="268">
        <f t="shared" si="0"/>
        <v>45199</v>
      </c>
      <c r="AX2" s="268">
        <f t="shared" si="0"/>
        <v>45291</v>
      </c>
      <c r="AY2" s="268">
        <f t="shared" si="0"/>
        <v>45382</v>
      </c>
      <c r="AZ2" s="268">
        <f t="shared" si="0"/>
        <v>45473</v>
      </c>
      <c r="BA2" s="268">
        <f t="shared" si="0"/>
        <v>45565</v>
      </c>
      <c r="BB2" s="268">
        <f t="shared" si="0"/>
        <v>45657</v>
      </c>
      <c r="BC2" s="35"/>
      <c r="BD2" s="35"/>
      <c r="BE2"/>
      <c r="BF2"/>
      <c r="BG2"/>
      <c r="BH2"/>
      <c r="BI2"/>
      <c r="BJ2"/>
      <c r="BK2"/>
      <c r="BL2"/>
      <c r="BM2"/>
      <c r="BN2"/>
      <c r="BO2"/>
      <c r="BP2"/>
      <c r="BQ2"/>
      <c r="BR2"/>
      <c r="BS2"/>
      <c r="BT2"/>
    </row>
    <row r="3" spans="1:72" ht="14.55" customHeight="1" x14ac:dyDescent="0.3">
      <c r="B3" s="39"/>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row>
    <row r="4" spans="1:72" ht="14.55" customHeight="1" x14ac:dyDescent="0.3">
      <c r="B4" s="41" t="s">
        <v>376</v>
      </c>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row>
    <row r="5" spans="1:72" ht="14.55" hidden="1" customHeight="1" outlineLevel="1" x14ac:dyDescent="0.3">
      <c r="B5" s="42" t="s">
        <v>7</v>
      </c>
      <c r="C5" s="216">
        <v>1160</v>
      </c>
      <c r="D5" s="217">
        <v>1162</v>
      </c>
      <c r="E5" s="218">
        <v>1167</v>
      </c>
      <c r="F5" s="219">
        <v>1182</v>
      </c>
      <c r="G5" s="219">
        <v>1147</v>
      </c>
      <c r="H5" s="219">
        <v>1134</v>
      </c>
      <c r="I5" s="219">
        <v>1148</v>
      </c>
      <c r="J5" s="219">
        <v>1126</v>
      </c>
      <c r="K5" s="218">
        <v>1096</v>
      </c>
      <c r="L5" s="217">
        <v>1088</v>
      </c>
      <c r="M5" s="216">
        <v>1090</v>
      </c>
      <c r="N5" s="219">
        <v>1096</v>
      </c>
      <c r="O5" s="46"/>
      <c r="P5" s="46"/>
      <c r="Q5" s="45"/>
      <c r="R5" s="44"/>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row>
    <row r="6" spans="1:72" ht="14.55" hidden="1" customHeight="1" outlineLevel="1" x14ac:dyDescent="0.3">
      <c r="B6" s="42" t="s">
        <v>113</v>
      </c>
      <c r="C6" s="216">
        <v>383</v>
      </c>
      <c r="D6" s="217">
        <v>421</v>
      </c>
      <c r="E6" s="218">
        <v>419</v>
      </c>
      <c r="F6" s="219">
        <v>460</v>
      </c>
      <c r="G6" s="219">
        <v>466</v>
      </c>
      <c r="H6" s="219">
        <v>495</v>
      </c>
      <c r="I6" s="219">
        <v>506</v>
      </c>
      <c r="J6" s="219">
        <v>524</v>
      </c>
      <c r="K6" s="218">
        <v>524</v>
      </c>
      <c r="L6" s="217">
        <v>566</v>
      </c>
      <c r="M6" s="216">
        <v>589</v>
      </c>
      <c r="N6" s="219">
        <v>638</v>
      </c>
      <c r="O6" s="46"/>
      <c r="P6" s="46"/>
      <c r="Q6" s="45"/>
      <c r="R6" s="44"/>
      <c r="S6" s="43"/>
      <c r="T6" s="43"/>
      <c r="U6" s="43"/>
      <c r="V6" s="43"/>
      <c r="W6" s="43"/>
      <c r="X6" s="43"/>
      <c r="Y6" s="43"/>
      <c r="Z6" s="43"/>
      <c r="AA6" s="43"/>
      <c r="AB6" s="43"/>
      <c r="AC6" s="43"/>
      <c r="AD6" s="43"/>
      <c r="AE6" s="43"/>
      <c r="AF6" s="43"/>
      <c r="AG6" s="43"/>
      <c r="AH6" s="43"/>
      <c r="AI6" s="43"/>
      <c r="AJ6" s="43"/>
      <c r="AK6" s="43"/>
      <c r="AL6" s="43"/>
      <c r="AM6" s="43"/>
      <c r="AN6" s="43"/>
      <c r="AO6" s="43"/>
      <c r="AP6" s="47"/>
      <c r="AQ6" s="47"/>
      <c r="AR6" s="43"/>
      <c r="AS6" s="43"/>
      <c r="AT6" s="43"/>
      <c r="AU6" s="43"/>
      <c r="AV6" s="43"/>
      <c r="AW6" s="43"/>
      <c r="AX6" s="43"/>
      <c r="AY6" s="43"/>
      <c r="AZ6" s="43"/>
      <c r="BA6" s="43"/>
      <c r="BB6" s="43"/>
    </row>
    <row r="7" spans="1:72" ht="14.55" hidden="1" customHeight="1" outlineLevel="1" x14ac:dyDescent="0.3">
      <c r="B7" s="42" t="s">
        <v>112</v>
      </c>
      <c r="C7" s="216">
        <v>365</v>
      </c>
      <c r="D7" s="217">
        <v>355</v>
      </c>
      <c r="E7" s="218">
        <v>355</v>
      </c>
      <c r="F7" s="219">
        <v>342</v>
      </c>
      <c r="G7" s="219">
        <v>320</v>
      </c>
      <c r="H7" s="219">
        <v>298</v>
      </c>
      <c r="I7" s="219">
        <v>275</v>
      </c>
      <c r="J7" s="219">
        <v>257</v>
      </c>
      <c r="K7" s="218">
        <v>223</v>
      </c>
      <c r="L7" s="217">
        <v>205</v>
      </c>
      <c r="M7" s="216">
        <v>184</v>
      </c>
      <c r="N7" s="219">
        <v>171</v>
      </c>
      <c r="O7" s="46"/>
      <c r="P7" s="46"/>
      <c r="Q7" s="45"/>
      <c r="R7" s="44"/>
      <c r="S7" s="43"/>
      <c r="T7" s="43"/>
      <c r="U7" s="43"/>
      <c r="V7" s="43"/>
      <c r="W7" s="43"/>
      <c r="X7" s="43"/>
      <c r="Y7" s="43"/>
      <c r="Z7" s="43"/>
      <c r="AA7" s="43"/>
      <c r="AB7" s="43"/>
      <c r="AC7" s="43"/>
      <c r="AD7" s="43"/>
      <c r="AE7" s="43"/>
      <c r="AF7" s="43"/>
      <c r="AG7" s="43"/>
      <c r="AH7" s="43"/>
      <c r="AI7" s="43"/>
      <c r="AJ7" s="43"/>
      <c r="AK7" s="43"/>
      <c r="AL7" s="43"/>
      <c r="AM7" s="43"/>
      <c r="AN7" s="43"/>
      <c r="AO7" s="43"/>
      <c r="AP7" s="48"/>
      <c r="AQ7" s="48"/>
      <c r="AR7" s="43"/>
      <c r="AS7" s="43"/>
      <c r="AT7" s="43"/>
      <c r="AU7" s="43"/>
      <c r="AV7" s="43"/>
      <c r="AW7" s="43"/>
      <c r="AX7" s="43"/>
      <c r="AY7" s="43"/>
      <c r="AZ7" s="43"/>
      <c r="BA7" s="43"/>
      <c r="BB7" s="43"/>
    </row>
    <row r="8" spans="1:72" ht="14.55" hidden="1" customHeight="1" outlineLevel="1" x14ac:dyDescent="0.3">
      <c r="B8" s="42" t="s">
        <v>64</v>
      </c>
      <c r="C8" s="216">
        <v>120</v>
      </c>
      <c r="D8" s="217">
        <v>158.25</v>
      </c>
      <c r="E8" s="218">
        <v>41.880000000000109</v>
      </c>
      <c r="F8" s="219">
        <v>33.511999999999944</v>
      </c>
      <c r="G8" s="219">
        <v>14.663000000000011</v>
      </c>
      <c r="H8" s="219">
        <v>5.6210000000000946</v>
      </c>
      <c r="I8" s="219">
        <v>21.192000000000007</v>
      </c>
      <c r="J8" s="219">
        <v>11.79099999999994</v>
      </c>
      <c r="K8" s="218">
        <v>-7.3599999999999</v>
      </c>
      <c r="L8" s="217">
        <v>16.224999999999909</v>
      </c>
      <c r="M8" s="216">
        <v>-1.7999999999999545</v>
      </c>
      <c r="N8" s="219">
        <v>-5.4000000000000909</v>
      </c>
      <c r="O8" s="46"/>
      <c r="P8" s="46"/>
      <c r="Q8" s="45"/>
      <c r="R8" s="44"/>
      <c r="S8" s="43"/>
      <c r="T8" s="43"/>
      <c r="U8" s="43"/>
      <c r="V8" s="43"/>
      <c r="W8" s="43"/>
      <c r="X8" s="43"/>
      <c r="Y8" s="43"/>
      <c r="Z8" s="43"/>
      <c r="AA8" s="43"/>
      <c r="AB8" s="43"/>
      <c r="AC8" s="43"/>
      <c r="AD8" s="43"/>
      <c r="AE8" s="43"/>
      <c r="AF8" s="43"/>
      <c r="AG8" s="43"/>
      <c r="AH8" s="43"/>
      <c r="AI8" s="43"/>
      <c r="AJ8" s="43"/>
      <c r="AK8" s="43"/>
      <c r="AL8" s="43"/>
      <c r="AM8" s="43"/>
      <c r="AN8" s="43"/>
      <c r="AO8" s="43"/>
      <c r="AP8" s="48"/>
      <c r="AQ8" s="48"/>
      <c r="AR8" s="43"/>
      <c r="AS8" s="43"/>
      <c r="AT8" s="43"/>
      <c r="AU8" s="43"/>
      <c r="AV8" s="43"/>
      <c r="AW8" s="43"/>
      <c r="AX8" s="43"/>
      <c r="AY8" s="43"/>
      <c r="AZ8" s="43"/>
      <c r="BA8" s="43"/>
      <c r="BB8" s="43"/>
    </row>
    <row r="9" spans="1:72" ht="14.55" hidden="1" customHeight="1" outlineLevel="1" x14ac:dyDescent="0.3">
      <c r="B9" s="42" t="s">
        <v>65</v>
      </c>
      <c r="C9" s="216">
        <v>8</v>
      </c>
      <c r="D9" s="219">
        <v>-15.25</v>
      </c>
      <c r="E9" s="219">
        <v>83.119999999999891</v>
      </c>
      <c r="F9" s="219">
        <v>93.488000000000056</v>
      </c>
      <c r="G9" s="218">
        <v>118.33699999999999</v>
      </c>
      <c r="H9" s="217">
        <v>130.37899999999991</v>
      </c>
      <c r="I9" s="216">
        <v>100.80799999999999</v>
      </c>
      <c r="J9" s="216">
        <v>105.20900000000006</v>
      </c>
      <c r="K9" s="216">
        <v>117.3599999999999</v>
      </c>
      <c r="L9" s="216">
        <v>79.775000000000091</v>
      </c>
      <c r="M9" s="216">
        <v>84.799999999999955</v>
      </c>
      <c r="N9" s="217">
        <v>88.400000000000091</v>
      </c>
      <c r="O9" s="43"/>
      <c r="P9" s="46"/>
      <c r="Q9" s="46"/>
      <c r="R9" s="46"/>
      <c r="S9" s="45"/>
      <c r="T9" s="44"/>
      <c r="U9" s="43"/>
      <c r="V9" s="43"/>
      <c r="W9" s="47" t="s">
        <v>202</v>
      </c>
      <c r="X9" s="47"/>
      <c r="Y9" s="47"/>
      <c r="Z9" s="47"/>
      <c r="AA9" s="47"/>
      <c r="AB9" s="47"/>
      <c r="AC9" s="47"/>
      <c r="AD9" s="49"/>
      <c r="AE9" s="49"/>
      <c r="AF9" s="49"/>
      <c r="AG9" s="49"/>
      <c r="AH9" s="49"/>
      <c r="AI9" s="49"/>
      <c r="AJ9" s="49"/>
      <c r="AK9" s="49"/>
      <c r="AL9" s="49"/>
      <c r="AM9" s="49"/>
      <c r="AN9" s="49"/>
      <c r="AO9" s="49"/>
      <c r="AP9" s="49"/>
      <c r="AQ9" s="49"/>
      <c r="AR9" s="49"/>
      <c r="AS9" s="49"/>
      <c r="AT9" s="49"/>
      <c r="AU9" s="49"/>
      <c r="AV9" s="49"/>
      <c r="AW9" s="49"/>
      <c r="AX9" s="49"/>
      <c r="AY9" s="49"/>
      <c r="AZ9" s="49"/>
      <c r="BA9" s="49"/>
      <c r="BB9" s="49"/>
    </row>
    <row r="10" spans="1:72" ht="14.55" hidden="1" customHeight="1" outlineLevel="1" x14ac:dyDescent="0.3">
      <c r="B10" s="39" t="s">
        <v>147</v>
      </c>
      <c r="C10" s="50">
        <f t="shared" ref="C10:N10" si="1">SUM(C5:C9)</f>
        <v>2036</v>
      </c>
      <c r="D10" s="50">
        <f t="shared" si="1"/>
        <v>2081</v>
      </c>
      <c r="E10" s="50">
        <f t="shared" si="1"/>
        <v>2066</v>
      </c>
      <c r="F10" s="50">
        <f t="shared" si="1"/>
        <v>2111</v>
      </c>
      <c r="G10" s="50">
        <f t="shared" si="1"/>
        <v>2066</v>
      </c>
      <c r="H10" s="50">
        <f t="shared" si="1"/>
        <v>2063</v>
      </c>
      <c r="I10" s="50">
        <f t="shared" si="1"/>
        <v>2051</v>
      </c>
      <c r="J10" s="50">
        <f t="shared" si="1"/>
        <v>2024</v>
      </c>
      <c r="K10" s="50">
        <f t="shared" si="1"/>
        <v>1953</v>
      </c>
      <c r="L10" s="50">
        <f t="shared" si="1"/>
        <v>1955</v>
      </c>
      <c r="M10" s="50">
        <f t="shared" si="1"/>
        <v>1946</v>
      </c>
      <c r="N10" s="50">
        <f t="shared" si="1"/>
        <v>1988</v>
      </c>
      <c r="O10" s="220">
        <v>2019</v>
      </c>
      <c r="P10" s="220">
        <v>1984</v>
      </c>
      <c r="Q10" s="220">
        <v>2046</v>
      </c>
      <c r="R10" s="220">
        <v>2047</v>
      </c>
      <c r="S10" s="220">
        <v>2005</v>
      </c>
      <c r="T10" s="220">
        <v>1934</v>
      </c>
      <c r="U10" s="220">
        <v>1982</v>
      </c>
      <c r="V10" s="220">
        <v>2028</v>
      </c>
      <c r="W10" s="220">
        <v>1942</v>
      </c>
      <c r="X10" s="220">
        <v>1928</v>
      </c>
      <c r="Y10" s="220">
        <v>1944</v>
      </c>
      <c r="Z10" s="220">
        <v>1897</v>
      </c>
      <c r="AA10" s="220">
        <v>1834</v>
      </c>
      <c r="AB10" s="220">
        <v>1863</v>
      </c>
      <c r="AC10" s="220">
        <v>1876</v>
      </c>
      <c r="AD10" s="220">
        <v>1898</v>
      </c>
      <c r="AE10" s="220">
        <v>1797</v>
      </c>
      <c r="AF10" s="220">
        <v>1763</v>
      </c>
      <c r="AG10" s="220">
        <v>1773</v>
      </c>
      <c r="AH10" s="220">
        <v>1772</v>
      </c>
      <c r="AI10" s="220">
        <v>1698</v>
      </c>
      <c r="AJ10" s="220">
        <v>1660</v>
      </c>
      <c r="AK10" s="220">
        <v>1673</v>
      </c>
      <c r="AL10" s="220">
        <v>1663</v>
      </c>
      <c r="AM10" s="220">
        <v>1664</v>
      </c>
      <c r="AN10" s="220">
        <v>1687</v>
      </c>
      <c r="AO10" s="220">
        <v>1715</v>
      </c>
      <c r="AP10" s="220">
        <v>1674</v>
      </c>
      <c r="AQ10" s="50">
        <f t="shared" ref="AQ10:AV10" si="2">AQ38</f>
        <v>1698</v>
      </c>
      <c r="AR10" s="50">
        <f t="shared" si="2"/>
        <v>1748</v>
      </c>
      <c r="AS10" s="50">
        <f t="shared" si="2"/>
        <v>1768</v>
      </c>
      <c r="AT10" s="50">
        <f t="shared" si="2"/>
        <v>1793</v>
      </c>
      <c r="AU10" s="50">
        <f t="shared" si="2"/>
        <v>1784</v>
      </c>
      <c r="AV10" s="50">
        <f t="shared" si="2"/>
        <v>1779</v>
      </c>
      <c r="AW10" s="50">
        <f t="shared" ref="AW10:AX10" si="3">AW38</f>
        <v>1806</v>
      </c>
      <c r="AX10" s="50">
        <f t="shared" si="3"/>
        <v>1841</v>
      </c>
      <c r="AY10" s="50">
        <f t="shared" ref="AY10:AZ10" si="4">AY38</f>
        <v>1839</v>
      </c>
      <c r="AZ10" s="50">
        <f t="shared" si="4"/>
        <v>1849</v>
      </c>
      <c r="BA10" s="50">
        <f t="shared" ref="BA10:BB10" si="5">BA38</f>
        <v>1853</v>
      </c>
      <c r="BB10" s="50">
        <f t="shared" si="5"/>
        <v>1867</v>
      </c>
      <c r="BC10" s="51"/>
    </row>
    <row r="11" spans="1:72" ht="14.55" hidden="1" customHeight="1" outlineLevel="1" x14ac:dyDescent="0.3">
      <c r="B11" s="39"/>
      <c r="C11" s="40"/>
      <c r="D11" s="53"/>
      <c r="E11" s="54"/>
      <c r="F11" s="55"/>
      <c r="G11" s="55"/>
      <c r="H11" s="55"/>
      <c r="I11" s="55"/>
      <c r="J11" s="55"/>
      <c r="K11" s="54"/>
      <c r="L11" s="53"/>
      <c r="M11" s="40"/>
      <c r="N11" s="55"/>
      <c r="O11" s="55"/>
      <c r="P11" s="55"/>
      <c r="Q11" s="54"/>
      <c r="R11" s="53"/>
      <c r="S11" s="40"/>
      <c r="T11" s="56"/>
      <c r="U11" s="56"/>
      <c r="V11" s="56"/>
      <c r="W11" s="56"/>
      <c r="X11" s="56"/>
      <c r="Y11" s="56"/>
      <c r="Z11" s="56"/>
      <c r="AA11" s="56"/>
      <c r="AB11" s="56"/>
      <c r="AC11" s="56"/>
      <c r="AD11" s="56"/>
      <c r="AE11" s="56"/>
      <c r="AF11" s="56"/>
      <c r="AG11" s="56"/>
      <c r="AH11" s="56"/>
      <c r="AI11" s="56"/>
      <c r="AJ11" s="56"/>
      <c r="AK11" s="56"/>
      <c r="AL11" s="56"/>
      <c r="AM11" s="56"/>
      <c r="AN11" s="56"/>
      <c r="AO11" s="56"/>
      <c r="AP11" s="56"/>
      <c r="AQ11" s="56"/>
      <c r="AR11" s="56"/>
      <c r="AS11" s="56"/>
      <c r="AT11" s="56"/>
      <c r="AU11" s="56"/>
      <c r="AV11" s="56"/>
      <c r="AW11" s="56"/>
      <c r="AX11" s="56"/>
      <c r="AY11" s="56"/>
      <c r="AZ11" s="56"/>
      <c r="BA11" s="56"/>
      <c r="BB11" s="56"/>
    </row>
    <row r="12" spans="1:72" ht="14.55" hidden="1" customHeight="1" outlineLevel="1" x14ac:dyDescent="0.3">
      <c r="B12" s="42" t="s">
        <v>339</v>
      </c>
      <c r="C12" s="217">
        <v>45</v>
      </c>
      <c r="D12" s="216">
        <v>50</v>
      </c>
      <c r="E12" s="219">
        <v>53</v>
      </c>
      <c r="F12" s="219">
        <v>55</v>
      </c>
      <c r="G12" s="219">
        <v>63</v>
      </c>
      <c r="H12" s="218">
        <v>58</v>
      </c>
      <c r="I12" s="217">
        <v>58</v>
      </c>
      <c r="J12" s="216">
        <v>61</v>
      </c>
      <c r="K12" s="216">
        <v>59</v>
      </c>
      <c r="L12" s="216">
        <v>62</v>
      </c>
      <c r="M12" s="216">
        <v>64</v>
      </c>
      <c r="N12" s="216">
        <v>68</v>
      </c>
      <c r="O12" s="217">
        <v>65</v>
      </c>
      <c r="P12" s="216">
        <v>64</v>
      </c>
      <c r="Q12" s="219">
        <v>63</v>
      </c>
      <c r="R12" s="219">
        <v>61</v>
      </c>
      <c r="S12" s="219">
        <v>67</v>
      </c>
      <c r="T12" s="218">
        <v>67</v>
      </c>
      <c r="U12" s="217">
        <v>74</v>
      </c>
      <c r="V12" s="216">
        <v>78</v>
      </c>
      <c r="W12" s="216">
        <v>72</v>
      </c>
      <c r="X12" s="216">
        <v>76</v>
      </c>
      <c r="Y12" s="216">
        <v>75</v>
      </c>
      <c r="Z12" s="216">
        <v>69</v>
      </c>
      <c r="AA12" s="216">
        <v>71</v>
      </c>
      <c r="AB12" s="216">
        <v>71</v>
      </c>
      <c r="AC12" s="216">
        <v>71</v>
      </c>
      <c r="AD12" s="216">
        <v>70</v>
      </c>
      <c r="AE12" s="216">
        <v>70</v>
      </c>
      <c r="AF12" s="216">
        <v>69</v>
      </c>
      <c r="AG12" s="216">
        <v>72</v>
      </c>
      <c r="AH12" s="216">
        <v>116</v>
      </c>
      <c r="AI12" s="216">
        <v>129</v>
      </c>
      <c r="AJ12" s="216">
        <v>127</v>
      </c>
      <c r="AK12" s="216">
        <v>147</v>
      </c>
      <c r="AL12" s="216">
        <v>155</v>
      </c>
      <c r="AM12" s="216">
        <v>136</v>
      </c>
      <c r="AN12" s="216">
        <v>135</v>
      </c>
      <c r="AO12" s="216">
        <v>137</v>
      </c>
      <c r="AP12" s="216">
        <v>151</v>
      </c>
      <c r="AQ12" s="216">
        <v>141</v>
      </c>
      <c r="AR12" s="216">
        <v>135</v>
      </c>
      <c r="AS12" s="216">
        <v>131</v>
      </c>
      <c r="AT12" s="216">
        <v>103</v>
      </c>
      <c r="AU12" s="216">
        <v>106</v>
      </c>
      <c r="AV12" s="216">
        <v>106</v>
      </c>
      <c r="AW12" s="216">
        <v>106</v>
      </c>
      <c r="AX12" s="216"/>
      <c r="AY12" s="216"/>
      <c r="AZ12" s="216"/>
      <c r="BA12" s="216"/>
      <c r="BB12" s="216"/>
      <c r="BD12" s="57"/>
    </row>
    <row r="13" spans="1:72" ht="14.55" hidden="1" customHeight="1" outlineLevel="1" x14ac:dyDescent="0.3">
      <c r="B13" s="42" t="s">
        <v>338</v>
      </c>
      <c r="C13" s="217">
        <v>8</v>
      </c>
      <c r="D13" s="216">
        <v>13</v>
      </c>
      <c r="E13" s="219">
        <v>9</v>
      </c>
      <c r="F13" s="219">
        <v>11</v>
      </c>
      <c r="G13" s="219">
        <v>14</v>
      </c>
      <c r="H13" s="218">
        <v>16</v>
      </c>
      <c r="I13" s="217">
        <v>18</v>
      </c>
      <c r="J13" s="216">
        <v>23</v>
      </c>
      <c r="K13" s="216">
        <v>25</v>
      </c>
      <c r="L13" s="216">
        <v>29</v>
      </c>
      <c r="M13" s="216">
        <v>31</v>
      </c>
      <c r="N13" s="216">
        <v>34</v>
      </c>
      <c r="O13" s="217">
        <v>38</v>
      </c>
      <c r="P13" s="216">
        <v>41</v>
      </c>
      <c r="Q13" s="219">
        <v>45</v>
      </c>
      <c r="R13" s="219">
        <v>47</v>
      </c>
      <c r="S13" s="219">
        <v>50</v>
      </c>
      <c r="T13" s="218">
        <v>54</v>
      </c>
      <c r="U13" s="217">
        <v>57</v>
      </c>
      <c r="V13" s="216">
        <v>59</v>
      </c>
      <c r="W13" s="216">
        <v>62</v>
      </c>
      <c r="X13" s="216">
        <v>65</v>
      </c>
      <c r="Y13" s="216">
        <v>71</v>
      </c>
      <c r="Z13" s="216">
        <v>70</v>
      </c>
      <c r="AA13" s="216">
        <v>75</v>
      </c>
      <c r="AB13" s="216">
        <v>79</v>
      </c>
      <c r="AC13" s="216">
        <v>80</v>
      </c>
      <c r="AD13" s="216">
        <v>80</v>
      </c>
      <c r="AE13" s="216">
        <v>80</v>
      </c>
      <c r="AF13" s="216">
        <v>86</v>
      </c>
      <c r="AG13" s="216">
        <v>95</v>
      </c>
      <c r="AH13" s="216">
        <v>104</v>
      </c>
      <c r="AI13" s="216">
        <v>113</v>
      </c>
      <c r="AJ13" s="216">
        <v>113</v>
      </c>
      <c r="AK13" s="216">
        <v>120</v>
      </c>
      <c r="AL13" s="216">
        <v>127</v>
      </c>
      <c r="AM13" s="216">
        <v>135</v>
      </c>
      <c r="AN13" s="216">
        <v>142</v>
      </c>
      <c r="AO13" s="216">
        <v>149</v>
      </c>
      <c r="AP13" s="216">
        <v>159</v>
      </c>
      <c r="AQ13" s="216">
        <v>166</v>
      </c>
      <c r="AR13" s="216">
        <v>177</v>
      </c>
      <c r="AS13" s="216">
        <v>184</v>
      </c>
      <c r="AT13" s="216">
        <v>191</v>
      </c>
      <c r="AU13" s="216">
        <v>196</v>
      </c>
      <c r="AV13" s="216">
        <v>205</v>
      </c>
      <c r="AW13" s="216">
        <v>205</v>
      </c>
      <c r="AX13" s="216"/>
      <c r="AY13" s="216"/>
      <c r="AZ13" s="216"/>
      <c r="BA13" s="216"/>
      <c r="BB13" s="216"/>
      <c r="BD13" s="57"/>
    </row>
    <row r="14" spans="1:72" ht="14.55" hidden="1" customHeight="1" outlineLevel="1" x14ac:dyDescent="0.3">
      <c r="B14" s="42" t="s">
        <v>132</v>
      </c>
      <c r="C14" s="217">
        <v>46</v>
      </c>
      <c r="D14" s="216">
        <v>79</v>
      </c>
      <c r="E14" s="219">
        <v>88</v>
      </c>
      <c r="F14" s="219">
        <v>129</v>
      </c>
      <c r="G14" s="219">
        <v>184</v>
      </c>
      <c r="H14" s="218">
        <v>158</v>
      </c>
      <c r="I14" s="217">
        <v>112</v>
      </c>
      <c r="J14" s="216">
        <v>116</v>
      </c>
      <c r="K14" s="216">
        <v>82</v>
      </c>
      <c r="L14" s="216">
        <v>36</v>
      </c>
      <c r="M14" s="216">
        <v>24</v>
      </c>
      <c r="N14" s="216">
        <v>33</v>
      </c>
      <c r="O14" s="217">
        <v>27</v>
      </c>
      <c r="P14" s="216">
        <v>21</v>
      </c>
      <c r="Q14" s="219">
        <v>12</v>
      </c>
      <c r="R14" s="219">
        <v>21</v>
      </c>
      <c r="S14" s="219">
        <v>18</v>
      </c>
      <c r="T14" s="218">
        <v>47</v>
      </c>
      <c r="U14" s="217">
        <v>43</v>
      </c>
      <c r="V14" s="216">
        <v>49</v>
      </c>
      <c r="W14" s="216">
        <v>299</v>
      </c>
      <c r="X14" s="216">
        <v>266</v>
      </c>
      <c r="Y14" s="216">
        <v>243</v>
      </c>
      <c r="Z14" s="216">
        <v>340</v>
      </c>
      <c r="AA14" s="216">
        <v>257</v>
      </c>
      <c r="AB14" s="216">
        <v>233</v>
      </c>
      <c r="AC14" s="216">
        <v>237</v>
      </c>
      <c r="AD14" s="216">
        <v>397</v>
      </c>
      <c r="AE14" s="216">
        <v>285</v>
      </c>
      <c r="AF14" s="216">
        <v>288</v>
      </c>
      <c r="AG14" s="216">
        <v>345</v>
      </c>
      <c r="AH14" s="216">
        <v>598</v>
      </c>
      <c r="AI14" s="216">
        <v>401</v>
      </c>
      <c r="AJ14" s="216">
        <v>251</v>
      </c>
      <c r="AK14" s="216">
        <v>273</v>
      </c>
      <c r="AL14" s="216">
        <v>316</v>
      </c>
      <c r="AM14" s="216">
        <v>269</v>
      </c>
      <c r="AN14" s="216">
        <v>276</v>
      </c>
      <c r="AO14" s="216">
        <v>238</v>
      </c>
      <c r="AP14" s="216">
        <v>440</v>
      </c>
      <c r="AQ14" s="216">
        <v>376</v>
      </c>
      <c r="AR14" s="216">
        <v>340</v>
      </c>
      <c r="AS14" s="216">
        <f>AS31</f>
        <v>297</v>
      </c>
      <c r="AT14" s="216">
        <f>AT31</f>
        <v>440</v>
      </c>
      <c r="AU14" s="216">
        <f>AU31</f>
        <v>414</v>
      </c>
      <c r="AV14" s="216">
        <v>357</v>
      </c>
      <c r="AW14" s="216">
        <v>357</v>
      </c>
      <c r="AX14" s="216"/>
      <c r="AY14" s="216"/>
      <c r="AZ14" s="216"/>
      <c r="BA14" s="216"/>
      <c r="BB14" s="216"/>
    </row>
    <row r="15" spans="1:72" ht="14.55" hidden="1" customHeight="1" outlineLevel="1" x14ac:dyDescent="0.3">
      <c r="B15" s="42" t="s">
        <v>352</v>
      </c>
      <c r="C15" s="44"/>
      <c r="D15" s="43"/>
      <c r="E15" s="46"/>
      <c r="F15" s="46"/>
      <c r="G15" s="46"/>
      <c r="H15" s="45"/>
      <c r="I15" s="44"/>
      <c r="J15" s="43"/>
      <c r="K15" s="43"/>
      <c r="L15" s="43"/>
      <c r="M15" s="43"/>
      <c r="N15" s="43"/>
      <c r="O15" s="44"/>
      <c r="P15" s="43"/>
      <c r="Q15" s="46"/>
      <c r="R15" s="46"/>
      <c r="S15" s="46"/>
      <c r="T15" s="45"/>
      <c r="U15" s="44"/>
      <c r="V15" s="43"/>
      <c r="W15" s="43"/>
      <c r="X15" s="43"/>
      <c r="Y15" s="43"/>
      <c r="Z15" s="43"/>
      <c r="AA15" s="43"/>
      <c r="AB15" s="43"/>
      <c r="AC15" s="43"/>
      <c r="AD15" s="43"/>
      <c r="AE15" s="43"/>
      <c r="AF15" s="43"/>
      <c r="AG15" s="43"/>
      <c r="AH15" s="43"/>
      <c r="AI15" s="43"/>
      <c r="AJ15" s="43"/>
      <c r="AK15" s="43"/>
      <c r="AL15" s="43"/>
      <c r="AM15" s="43"/>
      <c r="AN15" s="43"/>
      <c r="AO15" s="43"/>
      <c r="AP15" s="58"/>
      <c r="AQ15" s="216">
        <v>25</v>
      </c>
      <c r="AR15" s="216">
        <v>24</v>
      </c>
      <c r="AS15" s="216">
        <v>25</v>
      </c>
      <c r="AT15" s="216">
        <v>27</v>
      </c>
      <c r="AU15" s="216">
        <v>26</v>
      </c>
      <c r="AV15" s="216">
        <v>23</v>
      </c>
      <c r="AW15" s="216">
        <v>23</v>
      </c>
      <c r="AX15" s="216"/>
      <c r="AY15" s="216"/>
      <c r="AZ15" s="216"/>
      <c r="BA15" s="216"/>
      <c r="BB15" s="216"/>
    </row>
    <row r="16" spans="1:72" ht="14.55" customHeight="1" collapsed="1" x14ac:dyDescent="0.3">
      <c r="B16" s="42"/>
      <c r="C16" s="44"/>
      <c r="D16" s="43"/>
      <c r="E16" s="46"/>
      <c r="F16" s="46"/>
      <c r="G16" s="46"/>
      <c r="H16" s="45"/>
      <c r="I16" s="44"/>
      <c r="J16" s="43"/>
      <c r="K16" s="43"/>
      <c r="L16" s="43"/>
      <c r="M16" s="43"/>
      <c r="N16" s="43"/>
      <c r="O16" s="44"/>
      <c r="P16" s="43"/>
      <c r="Q16" s="46"/>
      <c r="R16" s="46"/>
      <c r="S16" s="46"/>
      <c r="T16" s="45"/>
      <c r="U16" s="44"/>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row>
    <row r="17" spans="2:75" ht="14.55" customHeight="1" x14ac:dyDescent="0.3">
      <c r="B17" s="41" t="s">
        <v>354</v>
      </c>
      <c r="C17" s="44"/>
      <c r="D17" s="43"/>
      <c r="E17" s="46"/>
      <c r="F17" s="46"/>
      <c r="G17" s="46"/>
      <c r="H17" s="45"/>
      <c r="I17" s="44"/>
      <c r="J17" s="43"/>
      <c r="K17" s="43"/>
      <c r="L17" s="43"/>
      <c r="M17" s="43"/>
      <c r="N17" s="43"/>
      <c r="O17" s="44"/>
      <c r="P17" s="43"/>
      <c r="Q17" s="46"/>
      <c r="R17" s="46"/>
      <c r="S17" s="46"/>
      <c r="T17" s="45"/>
      <c r="U17" s="44"/>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135"/>
      <c r="AT17" s="135"/>
      <c r="AU17" s="135"/>
      <c r="AV17" s="135"/>
      <c r="AW17" s="135"/>
      <c r="AX17" s="135"/>
      <c r="AY17" s="135"/>
      <c r="AZ17" s="135"/>
      <c r="BA17" s="135"/>
      <c r="BB17" s="135"/>
    </row>
    <row r="18" spans="2:75" ht="14.55" customHeight="1" x14ac:dyDescent="0.3">
      <c r="B18" s="41"/>
      <c r="C18" s="44"/>
      <c r="D18" s="43"/>
      <c r="E18" s="46"/>
      <c r="F18" s="46"/>
      <c r="G18" s="46"/>
      <c r="H18" s="45"/>
      <c r="I18" s="44"/>
      <c r="J18" s="43"/>
      <c r="K18" s="43"/>
      <c r="L18" s="43"/>
      <c r="M18" s="43"/>
      <c r="N18" s="43"/>
      <c r="O18" s="44"/>
      <c r="P18" s="43"/>
      <c r="Q18" s="46"/>
      <c r="R18" s="46"/>
      <c r="S18" s="46"/>
      <c r="T18" s="45"/>
      <c r="U18" s="44"/>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273"/>
      <c r="AW18" s="273"/>
      <c r="AX18" s="273"/>
      <c r="AY18" s="273"/>
      <c r="AZ18" s="273"/>
      <c r="BA18" s="273"/>
      <c r="BB18" s="273"/>
      <c r="BU18" s="47"/>
      <c r="BV18" s="47"/>
      <c r="BW18" s="47"/>
    </row>
    <row r="19" spans="2:75" ht="14.55" customHeight="1" x14ac:dyDescent="0.3">
      <c r="B19" s="59" t="s">
        <v>145</v>
      </c>
      <c r="C19" s="44"/>
      <c r="D19" s="43"/>
      <c r="E19" s="46"/>
      <c r="F19" s="46"/>
      <c r="G19" s="46"/>
      <c r="H19" s="45"/>
      <c r="I19" s="44"/>
      <c r="J19" s="43"/>
      <c r="K19" s="43"/>
      <c r="L19" s="43"/>
      <c r="M19" s="43"/>
      <c r="N19" s="43"/>
      <c r="O19" s="44"/>
      <c r="P19" s="43"/>
      <c r="Q19" s="46"/>
      <c r="R19" s="46"/>
      <c r="S19" s="46"/>
      <c r="T19" s="45"/>
      <c r="U19" s="44"/>
      <c r="V19" s="43"/>
      <c r="W19" s="43"/>
      <c r="X19" s="43"/>
      <c r="Y19" s="43"/>
      <c r="Z19" s="43"/>
      <c r="AA19" s="43"/>
      <c r="AB19" s="43"/>
      <c r="AC19" s="43"/>
      <c r="AD19" s="43"/>
      <c r="AE19" s="43"/>
      <c r="AF19" s="43"/>
      <c r="AG19" s="43"/>
      <c r="AH19" s="43"/>
      <c r="AI19" s="43"/>
      <c r="AJ19" s="43"/>
      <c r="AK19" s="43"/>
      <c r="AL19" s="43"/>
      <c r="AM19" s="221">
        <v>748</v>
      </c>
      <c r="AN19" s="221">
        <v>766</v>
      </c>
      <c r="AO19" s="221">
        <v>783</v>
      </c>
      <c r="AP19" s="221">
        <v>766</v>
      </c>
      <c r="AQ19" s="216">
        <v>785</v>
      </c>
      <c r="AR19" s="216">
        <v>810</v>
      </c>
      <c r="AS19" s="216">
        <v>830</v>
      </c>
      <c r="AT19" s="216">
        <v>850</v>
      </c>
      <c r="AU19" s="216">
        <v>864</v>
      </c>
      <c r="AV19" s="216">
        <v>871</v>
      </c>
      <c r="AW19" s="216">
        <v>882</v>
      </c>
      <c r="AX19" s="216">
        <v>903</v>
      </c>
      <c r="AY19" s="216">
        <v>911</v>
      </c>
      <c r="AZ19" s="216">
        <v>916</v>
      </c>
      <c r="BA19" s="216">
        <v>925</v>
      </c>
      <c r="BB19" s="216">
        <v>948</v>
      </c>
      <c r="BU19" s="179"/>
      <c r="BV19" s="179"/>
      <c r="BW19" s="179"/>
    </row>
    <row r="20" spans="2:75" ht="14.55" customHeight="1" x14ac:dyDescent="0.3">
      <c r="B20" s="59" t="s">
        <v>144</v>
      </c>
      <c r="C20" s="44"/>
      <c r="D20" s="43"/>
      <c r="E20" s="46"/>
      <c r="F20" s="46"/>
      <c r="G20" s="46"/>
      <c r="H20" s="45"/>
      <c r="I20" s="44"/>
      <c r="J20" s="43"/>
      <c r="K20" s="43"/>
      <c r="L20" s="43"/>
      <c r="M20" s="43"/>
      <c r="N20" s="43"/>
      <c r="O20" s="44"/>
      <c r="P20" s="43"/>
      <c r="Q20" s="46"/>
      <c r="R20" s="46"/>
      <c r="S20" s="46"/>
      <c r="T20" s="45"/>
      <c r="U20" s="44"/>
      <c r="V20" s="43"/>
      <c r="W20" s="43"/>
      <c r="X20" s="43"/>
      <c r="Y20" s="43"/>
      <c r="Z20" s="43"/>
      <c r="AA20" s="43"/>
      <c r="AB20" s="43"/>
      <c r="AC20" s="43"/>
      <c r="AD20" s="43"/>
      <c r="AE20" s="43"/>
      <c r="AF20" s="43"/>
      <c r="AG20" s="43"/>
      <c r="AH20" s="43"/>
      <c r="AI20" s="43"/>
      <c r="AJ20" s="43"/>
      <c r="AK20" s="43"/>
      <c r="AL20" s="43"/>
      <c r="AM20" s="221">
        <v>690</v>
      </c>
      <c r="AN20" s="221">
        <v>685</v>
      </c>
      <c r="AO20" s="221">
        <v>685</v>
      </c>
      <c r="AP20" s="221">
        <v>655</v>
      </c>
      <c r="AQ20" s="216">
        <v>657</v>
      </c>
      <c r="AR20" s="216">
        <v>679</v>
      </c>
      <c r="AS20" s="216">
        <v>676</v>
      </c>
      <c r="AT20" s="216">
        <v>681</v>
      </c>
      <c r="AU20" s="216">
        <v>661</v>
      </c>
      <c r="AV20" s="216">
        <v>651</v>
      </c>
      <c r="AW20" s="216">
        <v>652</v>
      </c>
      <c r="AX20" s="216">
        <v>655</v>
      </c>
      <c r="AY20" s="216">
        <v>649</v>
      </c>
      <c r="AZ20" s="216">
        <v>648</v>
      </c>
      <c r="BA20" s="216">
        <v>641</v>
      </c>
      <c r="BB20" s="216">
        <v>627</v>
      </c>
      <c r="BU20" s="179"/>
      <c r="BV20" s="179"/>
      <c r="BW20" s="179"/>
    </row>
    <row r="21" spans="2:75" ht="14.55" customHeight="1" x14ac:dyDescent="0.3">
      <c r="B21" s="59" t="s">
        <v>377</v>
      </c>
      <c r="C21" s="44"/>
      <c r="D21" s="43"/>
      <c r="E21" s="46"/>
      <c r="F21" s="46"/>
      <c r="G21" s="46"/>
      <c r="H21" s="45"/>
      <c r="I21" s="44"/>
      <c r="J21" s="43"/>
      <c r="K21" s="43"/>
      <c r="L21" s="43"/>
      <c r="M21" s="43"/>
      <c r="N21" s="43"/>
      <c r="O21" s="44"/>
      <c r="P21" s="43"/>
      <c r="Q21" s="46"/>
      <c r="R21" s="46"/>
      <c r="S21" s="46"/>
      <c r="T21" s="45"/>
      <c r="U21" s="44"/>
      <c r="V21" s="43"/>
      <c r="W21" s="43"/>
      <c r="X21" s="43"/>
      <c r="Y21" s="43"/>
      <c r="Z21" s="43"/>
      <c r="AA21" s="43"/>
      <c r="AB21" s="43"/>
      <c r="AC21" s="43"/>
      <c r="AD21" s="43"/>
      <c r="AE21" s="43"/>
      <c r="AF21" s="43"/>
      <c r="AG21" s="43"/>
      <c r="AH21" s="43"/>
      <c r="AI21" s="43"/>
      <c r="AJ21" s="43"/>
      <c r="AK21" s="43"/>
      <c r="AL21" s="43"/>
      <c r="AM21" s="60">
        <f>SUM(AM22:AM23)</f>
        <v>165</v>
      </c>
      <c r="AN21" s="60">
        <f t="shared" ref="AN21:AS21" si="6">SUM(AN22:AN23)</f>
        <v>175</v>
      </c>
      <c r="AO21" s="60">
        <f t="shared" si="6"/>
        <v>185</v>
      </c>
      <c r="AP21" s="60">
        <f t="shared" si="6"/>
        <v>196</v>
      </c>
      <c r="AQ21" s="43">
        <f t="shared" si="6"/>
        <v>200</v>
      </c>
      <c r="AR21" s="43">
        <f t="shared" si="6"/>
        <v>209</v>
      </c>
      <c r="AS21" s="43">
        <f t="shared" si="6"/>
        <v>215</v>
      </c>
      <c r="AT21" s="43">
        <v>219</v>
      </c>
      <c r="AU21" s="43">
        <v>222</v>
      </c>
      <c r="AV21" s="43">
        <v>229</v>
      </c>
      <c r="AW21" s="43">
        <v>231</v>
      </c>
      <c r="AX21" s="43">
        <v>243</v>
      </c>
      <c r="AY21" s="43">
        <f>AY22+AY23</f>
        <v>244</v>
      </c>
      <c r="AZ21" s="43">
        <f>AZ22+AZ23</f>
        <v>251</v>
      </c>
      <c r="BA21" s="43">
        <f>BA22+BA23</f>
        <v>251</v>
      </c>
      <c r="BB21" s="43">
        <f>BB22+BB23</f>
        <v>247</v>
      </c>
      <c r="BU21" s="179"/>
      <c r="BV21" s="179"/>
      <c r="BW21" s="179"/>
    </row>
    <row r="22" spans="2:75" ht="14.55" customHeight="1" x14ac:dyDescent="0.3">
      <c r="B22" s="272" t="s">
        <v>349</v>
      </c>
      <c r="C22" s="44"/>
      <c r="D22" s="43"/>
      <c r="E22" s="46"/>
      <c r="F22" s="46"/>
      <c r="G22" s="46"/>
      <c r="H22" s="45"/>
      <c r="I22" s="44"/>
      <c r="J22" s="43"/>
      <c r="K22" s="43"/>
      <c r="L22" s="43"/>
      <c r="M22" s="43"/>
      <c r="N22" s="43"/>
      <c r="O22" s="44"/>
      <c r="P22" s="43"/>
      <c r="Q22" s="46"/>
      <c r="R22" s="46"/>
      <c r="S22" s="46"/>
      <c r="T22" s="45"/>
      <c r="U22" s="44"/>
      <c r="V22" s="43"/>
      <c r="W22" s="43"/>
      <c r="X22" s="43"/>
      <c r="Y22" s="43"/>
      <c r="Z22" s="43"/>
      <c r="AA22" s="43"/>
      <c r="AB22" s="43"/>
      <c r="AC22" s="43"/>
      <c r="AD22" s="43"/>
      <c r="AE22" s="43"/>
      <c r="AF22" s="43"/>
      <c r="AG22" s="43"/>
      <c r="AH22" s="43"/>
      <c r="AI22" s="43"/>
      <c r="AJ22" s="43"/>
      <c r="AK22" s="43"/>
      <c r="AL22" s="43"/>
      <c r="AM22" s="221">
        <v>134</v>
      </c>
      <c r="AN22" s="221">
        <v>141</v>
      </c>
      <c r="AO22" s="221">
        <v>148</v>
      </c>
      <c r="AP22" s="221">
        <v>157</v>
      </c>
      <c r="AQ22" s="216">
        <v>163</v>
      </c>
      <c r="AR22" s="216">
        <v>173</v>
      </c>
      <c r="AS22" s="216">
        <v>180</v>
      </c>
      <c r="AT22" s="216">
        <v>187</v>
      </c>
      <c r="AU22" s="216">
        <v>192</v>
      </c>
      <c r="AV22" s="216">
        <v>201</v>
      </c>
      <c r="AW22" s="216">
        <v>201</v>
      </c>
      <c r="AX22" s="216">
        <v>215</v>
      </c>
      <c r="AY22" s="216">
        <v>216</v>
      </c>
      <c r="AZ22" s="216">
        <v>224</v>
      </c>
      <c r="BA22" s="216">
        <v>225</v>
      </c>
      <c r="BB22" s="216">
        <v>222</v>
      </c>
      <c r="BU22" s="179"/>
      <c r="BV22" s="179"/>
      <c r="BW22" s="179"/>
    </row>
    <row r="23" spans="2:75" ht="14.55" customHeight="1" x14ac:dyDescent="0.3">
      <c r="B23" s="272" t="s">
        <v>375</v>
      </c>
      <c r="C23" s="44"/>
      <c r="D23" s="43"/>
      <c r="E23" s="46"/>
      <c r="F23" s="46"/>
      <c r="G23" s="46"/>
      <c r="H23" s="45"/>
      <c r="I23" s="44"/>
      <c r="J23" s="43"/>
      <c r="K23" s="43"/>
      <c r="L23" s="43"/>
      <c r="M23" s="43"/>
      <c r="N23" s="43"/>
      <c r="O23" s="44"/>
      <c r="P23" s="43"/>
      <c r="Q23" s="46"/>
      <c r="R23" s="46"/>
      <c r="S23" s="46"/>
      <c r="T23" s="45"/>
      <c r="U23" s="44"/>
      <c r="V23" s="43"/>
      <c r="W23" s="43"/>
      <c r="X23" s="43"/>
      <c r="Y23" s="43"/>
      <c r="Z23" s="43"/>
      <c r="AA23" s="43"/>
      <c r="AB23" s="43"/>
      <c r="AC23" s="43"/>
      <c r="AD23" s="43"/>
      <c r="AE23" s="43"/>
      <c r="AF23" s="43"/>
      <c r="AG23" s="43"/>
      <c r="AH23" s="43"/>
      <c r="AI23" s="43"/>
      <c r="AJ23" s="43"/>
      <c r="AK23" s="43"/>
      <c r="AL23" s="43"/>
      <c r="AM23" s="221">
        <v>31</v>
      </c>
      <c r="AN23" s="221">
        <v>34</v>
      </c>
      <c r="AO23" s="221">
        <v>37</v>
      </c>
      <c r="AP23" s="221">
        <v>39</v>
      </c>
      <c r="AQ23" s="216">
        <v>37</v>
      </c>
      <c r="AR23" s="216">
        <v>36</v>
      </c>
      <c r="AS23" s="216">
        <v>35</v>
      </c>
      <c r="AT23" s="216">
        <v>32</v>
      </c>
      <c r="AU23" s="216">
        <v>30</v>
      </c>
      <c r="AV23" s="216">
        <v>28</v>
      </c>
      <c r="AW23" s="216">
        <v>28</v>
      </c>
      <c r="AX23" s="216">
        <v>28</v>
      </c>
      <c r="AY23" s="216">
        <v>28</v>
      </c>
      <c r="AZ23" s="216">
        <v>27</v>
      </c>
      <c r="BA23" s="216">
        <v>26</v>
      </c>
      <c r="BB23" s="216">
        <v>25</v>
      </c>
      <c r="BU23" s="179"/>
      <c r="BV23" s="179"/>
      <c r="BW23" s="179"/>
    </row>
    <row r="24" spans="2:75" s="37" customFormat="1" ht="14.55" customHeight="1" x14ac:dyDescent="0.3">
      <c r="B24" s="61" t="s">
        <v>356</v>
      </c>
      <c r="C24" s="62"/>
      <c r="D24" s="63"/>
      <c r="E24" s="64"/>
      <c r="F24" s="64"/>
      <c r="G24" s="64"/>
      <c r="H24" s="65"/>
      <c r="I24" s="62"/>
      <c r="J24" s="63"/>
      <c r="K24" s="63"/>
      <c r="L24" s="63"/>
      <c r="M24" s="63"/>
      <c r="N24" s="63"/>
      <c r="O24" s="62"/>
      <c r="P24" s="63"/>
      <c r="Q24" s="64"/>
      <c r="R24" s="64"/>
      <c r="S24" s="64"/>
      <c r="T24" s="65"/>
      <c r="U24" s="62"/>
      <c r="V24" s="63"/>
      <c r="W24" s="63"/>
      <c r="X24" s="63"/>
      <c r="Y24" s="63"/>
      <c r="Z24" s="63"/>
      <c r="AA24" s="63"/>
      <c r="AB24" s="63"/>
      <c r="AC24" s="63"/>
      <c r="AD24" s="63"/>
      <c r="AE24" s="63"/>
      <c r="AF24" s="63"/>
      <c r="AG24" s="63"/>
      <c r="AH24" s="63"/>
      <c r="AI24" s="63"/>
      <c r="AJ24" s="63"/>
      <c r="AK24" s="63"/>
      <c r="AL24" s="63"/>
      <c r="AM24" s="63">
        <f>AM19+AM20+AM21</f>
        <v>1603</v>
      </c>
      <c r="AN24" s="63">
        <f t="shared" ref="AN24:AT24" si="7">AN19+AN20+AN21</f>
        <v>1626</v>
      </c>
      <c r="AO24" s="63">
        <f t="shared" si="7"/>
        <v>1653</v>
      </c>
      <c r="AP24" s="63">
        <f t="shared" si="7"/>
        <v>1617</v>
      </c>
      <c r="AQ24" s="63">
        <f t="shared" si="7"/>
        <v>1642</v>
      </c>
      <c r="AR24" s="63">
        <f t="shared" si="7"/>
        <v>1698</v>
      </c>
      <c r="AS24" s="63">
        <f t="shared" si="7"/>
        <v>1721</v>
      </c>
      <c r="AT24" s="63">
        <f t="shared" si="7"/>
        <v>1750</v>
      </c>
      <c r="AU24" s="63">
        <f>AU19+AU20+AU21</f>
        <v>1747</v>
      </c>
      <c r="AV24" s="63">
        <f t="shared" ref="AV24:AW24" si="8">AV19+AV20+AV21</f>
        <v>1751</v>
      </c>
      <c r="AW24" s="63">
        <f t="shared" si="8"/>
        <v>1765</v>
      </c>
      <c r="AX24" s="63">
        <f t="shared" ref="AX24:AY24" si="9">AX19+AX20+AX21</f>
        <v>1801</v>
      </c>
      <c r="AY24" s="63">
        <f t="shared" si="9"/>
        <v>1804</v>
      </c>
      <c r="AZ24" s="63">
        <f t="shared" ref="AZ24:BA24" si="10">AZ19+AZ20+AZ21</f>
        <v>1815</v>
      </c>
      <c r="BA24" s="63">
        <f t="shared" si="10"/>
        <v>1817</v>
      </c>
      <c r="BB24" s="63">
        <f t="shared" ref="BB24" si="11">BB19+BB20+BB21</f>
        <v>1822</v>
      </c>
      <c r="BE24"/>
      <c r="BF24"/>
      <c r="BG24"/>
      <c r="BH24"/>
      <c r="BI24"/>
      <c r="BJ24"/>
      <c r="BK24"/>
      <c r="BL24"/>
      <c r="BM24"/>
      <c r="BN24"/>
      <c r="BO24"/>
      <c r="BP24"/>
      <c r="BQ24"/>
      <c r="BR24"/>
      <c r="BS24"/>
      <c r="BT24"/>
      <c r="BU24" s="181"/>
      <c r="BV24" s="181"/>
      <c r="BW24" s="181"/>
    </row>
    <row r="25" spans="2:75" ht="14.55" customHeight="1" x14ac:dyDescent="0.3">
      <c r="C25" s="44"/>
      <c r="D25" s="43"/>
      <c r="E25" s="46"/>
      <c r="F25" s="46"/>
      <c r="G25" s="46"/>
      <c r="H25" s="45"/>
      <c r="I25" s="44"/>
      <c r="J25" s="43"/>
      <c r="K25" s="43"/>
      <c r="L25" s="43"/>
      <c r="M25" s="43"/>
      <c r="N25" s="43"/>
      <c r="O25" s="44"/>
      <c r="P25" s="43"/>
      <c r="Q25" s="46"/>
      <c r="R25" s="46"/>
      <c r="S25" s="46"/>
      <c r="T25" s="45"/>
      <c r="U25" s="44"/>
      <c r="V25" s="43"/>
      <c r="W25" s="43"/>
      <c r="X25" s="43"/>
      <c r="Y25" s="43"/>
      <c r="Z25" s="43"/>
      <c r="AA25" s="43"/>
      <c r="AB25" s="43"/>
      <c r="AC25" s="43"/>
      <c r="AD25" s="43"/>
      <c r="AE25" s="43"/>
      <c r="AF25" s="43"/>
      <c r="AG25" s="43"/>
      <c r="AH25" s="43"/>
      <c r="AI25" s="43"/>
      <c r="AJ25" s="43"/>
      <c r="AK25" s="43"/>
      <c r="AL25" s="43"/>
      <c r="AM25" s="43"/>
      <c r="AN25" s="43"/>
      <c r="AO25" s="43"/>
      <c r="AP25" s="43"/>
      <c r="AQ25" s="66"/>
      <c r="AR25" s="66"/>
      <c r="AS25" s="66"/>
      <c r="AT25" s="66"/>
      <c r="AU25" s="66"/>
      <c r="AV25" s="66"/>
      <c r="AW25" s="66"/>
      <c r="AX25" s="66"/>
      <c r="AY25" s="66"/>
      <c r="AZ25" s="66"/>
      <c r="BA25" s="66"/>
      <c r="BB25" s="66"/>
      <c r="BU25" s="179"/>
      <c r="BV25" s="179"/>
      <c r="BW25" s="179"/>
    </row>
    <row r="26" spans="2:75" ht="14.55" customHeight="1" x14ac:dyDescent="0.3">
      <c r="B26" s="59" t="s">
        <v>358</v>
      </c>
      <c r="C26" s="44"/>
      <c r="D26" s="43"/>
      <c r="E26" s="46"/>
      <c r="F26" s="46"/>
      <c r="G26" s="46"/>
      <c r="H26" s="45"/>
      <c r="I26" s="44"/>
      <c r="J26" s="43"/>
      <c r="K26" s="43"/>
      <c r="L26" s="43"/>
      <c r="M26" s="43"/>
      <c r="N26" s="43"/>
      <c r="O26" s="44"/>
      <c r="P26" s="43"/>
      <c r="Q26" s="46"/>
      <c r="R26" s="46"/>
      <c r="S26" s="46"/>
      <c r="T26" s="45"/>
      <c r="U26" s="44"/>
      <c r="V26" s="43"/>
      <c r="W26" s="43"/>
      <c r="X26" s="43"/>
      <c r="Y26" s="43"/>
      <c r="Z26" s="43"/>
      <c r="AA26" s="43"/>
      <c r="AB26" s="43"/>
      <c r="AC26" s="43"/>
      <c r="AD26" s="43"/>
      <c r="AE26" s="43"/>
      <c r="AF26" s="43"/>
      <c r="AG26" s="43"/>
      <c r="AH26" s="43"/>
      <c r="AI26" s="43"/>
      <c r="AJ26" s="43"/>
      <c r="AK26" s="43"/>
      <c r="AL26" s="43"/>
      <c r="AM26" s="221">
        <v>180</v>
      </c>
      <c r="AN26" s="221">
        <v>185</v>
      </c>
      <c r="AO26" s="221">
        <v>186</v>
      </c>
      <c r="AP26" s="221">
        <v>189</v>
      </c>
      <c r="AQ26" s="216">
        <v>185</v>
      </c>
      <c r="AR26" s="216">
        <v>185</v>
      </c>
      <c r="AS26" s="216">
        <v>199</v>
      </c>
      <c r="AT26" s="216">
        <v>207</v>
      </c>
      <c r="AU26" s="216">
        <v>200</v>
      </c>
      <c r="AV26" s="216">
        <v>201</v>
      </c>
      <c r="AW26" s="216">
        <v>200</v>
      </c>
      <c r="AX26" s="216">
        <v>205</v>
      </c>
      <c r="AY26" s="216">
        <v>200</v>
      </c>
      <c r="AZ26" s="216">
        <v>202</v>
      </c>
      <c r="BA26" s="216">
        <v>209</v>
      </c>
      <c r="BB26" s="216">
        <v>215</v>
      </c>
      <c r="BU26" s="179"/>
      <c r="BV26" s="179"/>
      <c r="BW26" s="179"/>
    </row>
    <row r="27" spans="2:75" ht="14.55" customHeight="1" x14ac:dyDescent="0.3">
      <c r="B27" s="59" t="s">
        <v>359</v>
      </c>
      <c r="C27" s="44"/>
      <c r="D27" s="43"/>
      <c r="E27" s="46"/>
      <c r="F27" s="46"/>
      <c r="G27" s="46"/>
      <c r="H27" s="45"/>
      <c r="I27" s="44"/>
      <c r="J27" s="43"/>
      <c r="K27" s="43"/>
      <c r="L27" s="43"/>
      <c r="M27" s="43"/>
      <c r="N27" s="43"/>
      <c r="O27" s="44"/>
      <c r="P27" s="43"/>
      <c r="Q27" s="46"/>
      <c r="R27" s="46"/>
      <c r="S27" s="46"/>
      <c r="T27" s="45"/>
      <c r="U27" s="44"/>
      <c r="V27" s="43"/>
      <c r="W27" s="43"/>
      <c r="X27" s="43"/>
      <c r="Y27" s="43"/>
      <c r="Z27" s="43"/>
      <c r="AA27" s="43"/>
      <c r="AB27" s="43"/>
      <c r="AC27" s="43"/>
      <c r="AD27" s="43"/>
      <c r="AE27" s="43"/>
      <c r="AF27" s="43"/>
      <c r="AG27" s="43"/>
      <c r="AH27" s="43"/>
      <c r="AI27" s="43"/>
      <c r="AJ27" s="43"/>
      <c r="AK27" s="43"/>
      <c r="AL27" s="43"/>
      <c r="AM27" s="221">
        <v>188</v>
      </c>
      <c r="AN27" s="221">
        <v>186</v>
      </c>
      <c r="AO27" s="221">
        <v>194</v>
      </c>
      <c r="AP27" s="221">
        <v>210</v>
      </c>
      <c r="AQ27" s="216">
        <v>203</v>
      </c>
      <c r="AR27" s="216">
        <v>201</v>
      </c>
      <c r="AS27" s="216">
        <v>188</v>
      </c>
      <c r="AT27" s="216">
        <v>157</v>
      </c>
      <c r="AU27" s="216">
        <v>165</v>
      </c>
      <c r="AV27" s="216">
        <v>161</v>
      </c>
      <c r="AW27" s="216">
        <v>180</v>
      </c>
      <c r="AX27" s="216">
        <v>196</v>
      </c>
      <c r="AY27" s="216">
        <v>187</v>
      </c>
      <c r="AZ27" s="216">
        <v>199</v>
      </c>
      <c r="BA27" s="216">
        <v>187</v>
      </c>
      <c r="BB27" s="216">
        <v>211</v>
      </c>
      <c r="BU27" s="179"/>
      <c r="BV27" s="179"/>
      <c r="BW27" s="179"/>
    </row>
    <row r="28" spans="2:75" s="37" customFormat="1" ht="14.55" customHeight="1" x14ac:dyDescent="0.3">
      <c r="B28" s="61" t="s">
        <v>357</v>
      </c>
      <c r="C28" s="62"/>
      <c r="D28" s="63"/>
      <c r="E28" s="64"/>
      <c r="F28" s="64"/>
      <c r="G28" s="64"/>
      <c r="H28" s="65"/>
      <c r="I28" s="62"/>
      <c r="J28" s="63"/>
      <c r="K28" s="63"/>
      <c r="L28" s="63"/>
      <c r="M28" s="63"/>
      <c r="N28" s="63"/>
      <c r="O28" s="62"/>
      <c r="P28" s="63"/>
      <c r="Q28" s="64"/>
      <c r="R28" s="64"/>
      <c r="S28" s="64"/>
      <c r="T28" s="65"/>
      <c r="U28" s="62"/>
      <c r="V28" s="63"/>
      <c r="W28" s="63"/>
      <c r="X28" s="63"/>
      <c r="Y28" s="63"/>
      <c r="Z28" s="63"/>
      <c r="AA28" s="63"/>
      <c r="AB28" s="63"/>
      <c r="AC28" s="63"/>
      <c r="AD28" s="63"/>
      <c r="AE28" s="63"/>
      <c r="AF28" s="63"/>
      <c r="AG28" s="63"/>
      <c r="AH28" s="63"/>
      <c r="AI28" s="63"/>
      <c r="AJ28" s="63"/>
      <c r="AK28" s="63"/>
      <c r="AL28" s="63"/>
      <c r="AM28" s="63">
        <f>SUM(AM26:AM27)</f>
        <v>368</v>
      </c>
      <c r="AN28" s="63">
        <f t="shared" ref="AN28:AQ28" si="12">SUM(AN26:AN27)</f>
        <v>371</v>
      </c>
      <c r="AO28" s="63">
        <f t="shared" si="12"/>
        <v>380</v>
      </c>
      <c r="AP28" s="63">
        <f t="shared" si="12"/>
        <v>399</v>
      </c>
      <c r="AQ28" s="63">
        <f t="shared" si="12"/>
        <v>388</v>
      </c>
      <c r="AR28" s="63">
        <f t="shared" ref="AR28:AS28" si="13">SUM(AR26:AR27)</f>
        <v>386</v>
      </c>
      <c r="AS28" s="63">
        <f t="shared" si="13"/>
        <v>387</v>
      </c>
      <c r="AT28" s="63">
        <f t="shared" ref="AT28:AV28" si="14">SUM(AT26:AT27)</f>
        <v>364</v>
      </c>
      <c r="AU28" s="63">
        <f t="shared" si="14"/>
        <v>365</v>
      </c>
      <c r="AV28" s="63">
        <f t="shared" si="14"/>
        <v>362</v>
      </c>
      <c r="AW28" s="63">
        <f t="shared" ref="AW28:AX28" si="15">SUM(AW26:AW27)</f>
        <v>380</v>
      </c>
      <c r="AX28" s="63">
        <f t="shared" si="15"/>
        <v>401</v>
      </c>
      <c r="AY28" s="63">
        <f t="shared" ref="AY28:AZ28" si="16">SUM(AY26:AY27)</f>
        <v>387</v>
      </c>
      <c r="AZ28" s="63">
        <f t="shared" si="16"/>
        <v>401</v>
      </c>
      <c r="BA28" s="63">
        <f t="shared" ref="BA28:BB28" si="17">SUM(BA26:BA27)</f>
        <v>396</v>
      </c>
      <c r="BB28" s="63">
        <f t="shared" si="17"/>
        <v>426</v>
      </c>
      <c r="BE28"/>
      <c r="BF28"/>
      <c r="BG28"/>
      <c r="BH28"/>
      <c r="BI28"/>
      <c r="BJ28"/>
      <c r="BK28"/>
      <c r="BL28"/>
      <c r="BM28"/>
      <c r="BN28"/>
      <c r="BO28"/>
      <c r="BP28"/>
      <c r="BQ28"/>
      <c r="BR28"/>
      <c r="BS28"/>
      <c r="BT28"/>
      <c r="BU28" s="181"/>
      <c r="BV28" s="181"/>
      <c r="BW28" s="181"/>
    </row>
    <row r="29" spans="2:75" ht="14.55" customHeight="1" x14ac:dyDescent="0.3">
      <c r="B29" s="42"/>
      <c r="C29" s="44"/>
      <c r="D29" s="43"/>
      <c r="E29" s="46"/>
      <c r="F29" s="46"/>
      <c r="G29" s="46"/>
      <c r="H29" s="45"/>
      <c r="I29" s="44"/>
      <c r="J29" s="43"/>
      <c r="K29" s="43"/>
      <c r="L29" s="43"/>
      <c r="M29" s="43"/>
      <c r="N29" s="43"/>
      <c r="O29" s="44"/>
      <c r="P29" s="43"/>
      <c r="Q29" s="46"/>
      <c r="R29" s="46"/>
      <c r="S29" s="46"/>
      <c r="T29" s="45"/>
      <c r="U29" s="44"/>
      <c r="V29" s="43"/>
      <c r="W29" s="43"/>
      <c r="X29" s="43"/>
      <c r="Y29" s="43"/>
      <c r="Z29" s="43"/>
      <c r="AA29" s="43"/>
      <c r="AB29" s="43"/>
      <c r="AC29" s="43"/>
      <c r="AD29" s="43"/>
      <c r="AE29" s="43"/>
      <c r="AF29" s="43"/>
      <c r="AG29" s="43"/>
      <c r="AH29" s="43"/>
      <c r="AI29" s="43"/>
      <c r="AJ29" s="43"/>
      <c r="AK29" s="43"/>
      <c r="AL29" s="43"/>
      <c r="AM29" s="43"/>
      <c r="AN29" s="43"/>
      <c r="AO29" s="43"/>
      <c r="AP29" s="43"/>
      <c r="AQ29" s="66"/>
      <c r="AR29" s="66"/>
      <c r="AS29" s="66">
        <f t="shared" ref="AS29:AX29" si="18">AS28/AS32</f>
        <v>0.16091476091476092</v>
      </c>
      <c r="AT29" s="66">
        <f t="shared" si="18"/>
        <v>0.14252153484729835</v>
      </c>
      <c r="AU29" s="66">
        <f t="shared" si="18"/>
        <v>0.14449722882026919</v>
      </c>
      <c r="AV29" s="66">
        <f t="shared" si="18"/>
        <v>0.1465587044534413</v>
      </c>
      <c r="AW29" s="66">
        <f t="shared" si="18"/>
        <v>0.15561015561015562</v>
      </c>
      <c r="AX29" s="66">
        <f t="shared" si="18"/>
        <v>0.1462436177972283</v>
      </c>
      <c r="AY29" s="66">
        <f t="shared" ref="AY29:AZ29" si="19">AY28/AY32</f>
        <v>0.14867460622358816</v>
      </c>
      <c r="AZ29" s="66">
        <f t="shared" si="19"/>
        <v>0.15506573859242073</v>
      </c>
      <c r="BA29" s="66">
        <f t="shared" ref="BA29:BB29" si="20">BA28/BA32</f>
        <v>0.15372670807453417</v>
      </c>
      <c r="BB29" s="66">
        <f t="shared" si="20"/>
        <v>0.1537351136773728</v>
      </c>
      <c r="BU29" s="179"/>
      <c r="BV29" s="179"/>
      <c r="BW29" s="179"/>
    </row>
    <row r="30" spans="2:75" ht="14.55" customHeight="1" x14ac:dyDescent="0.3">
      <c r="B30" s="39" t="s">
        <v>355</v>
      </c>
      <c r="C30" s="43">
        <f>C32-C31</f>
        <v>2089</v>
      </c>
      <c r="D30" s="43">
        <f t="shared" ref="D30:AL30" si="21">D32-D31</f>
        <v>2144</v>
      </c>
      <c r="E30" s="43">
        <f t="shared" si="21"/>
        <v>2128</v>
      </c>
      <c r="F30" s="43">
        <f t="shared" si="21"/>
        <v>2177</v>
      </c>
      <c r="G30" s="43">
        <f t="shared" si="21"/>
        <v>2143</v>
      </c>
      <c r="H30" s="43">
        <f t="shared" si="21"/>
        <v>2137</v>
      </c>
      <c r="I30" s="43">
        <f t="shared" si="21"/>
        <v>2127</v>
      </c>
      <c r="J30" s="43">
        <f t="shared" si="21"/>
        <v>2108</v>
      </c>
      <c r="K30" s="43">
        <f t="shared" si="21"/>
        <v>2037</v>
      </c>
      <c r="L30" s="43">
        <f t="shared" si="21"/>
        <v>2046</v>
      </c>
      <c r="M30" s="43">
        <f t="shared" si="21"/>
        <v>2041</v>
      </c>
      <c r="N30" s="43">
        <f t="shared" si="21"/>
        <v>2090</v>
      </c>
      <c r="O30" s="43">
        <f t="shared" si="21"/>
        <v>2122</v>
      </c>
      <c r="P30" s="43">
        <f t="shared" si="21"/>
        <v>2089</v>
      </c>
      <c r="Q30" s="43">
        <f t="shared" si="21"/>
        <v>2154</v>
      </c>
      <c r="R30" s="43">
        <f t="shared" si="21"/>
        <v>2155</v>
      </c>
      <c r="S30" s="43">
        <f t="shared" si="21"/>
        <v>2122</v>
      </c>
      <c r="T30" s="43">
        <f t="shared" si="21"/>
        <v>2055</v>
      </c>
      <c r="U30" s="43">
        <f t="shared" si="21"/>
        <v>2113</v>
      </c>
      <c r="V30" s="43">
        <f t="shared" si="21"/>
        <v>2165</v>
      </c>
      <c r="W30" s="43">
        <f t="shared" si="21"/>
        <v>2076</v>
      </c>
      <c r="X30" s="43">
        <f t="shared" si="21"/>
        <v>2069</v>
      </c>
      <c r="Y30" s="43">
        <f t="shared" si="21"/>
        <v>2090</v>
      </c>
      <c r="Z30" s="43">
        <f t="shared" si="21"/>
        <v>2036</v>
      </c>
      <c r="AA30" s="43">
        <f t="shared" si="21"/>
        <v>1980</v>
      </c>
      <c r="AB30" s="43">
        <f t="shared" si="21"/>
        <v>2013</v>
      </c>
      <c r="AC30" s="43">
        <f t="shared" si="21"/>
        <v>2027</v>
      </c>
      <c r="AD30" s="43">
        <f t="shared" si="21"/>
        <v>2048</v>
      </c>
      <c r="AE30" s="43">
        <f t="shared" si="21"/>
        <v>1947</v>
      </c>
      <c r="AF30" s="43">
        <f t="shared" si="21"/>
        <v>1918</v>
      </c>
      <c r="AG30" s="43">
        <f t="shared" si="21"/>
        <v>1940</v>
      </c>
      <c r="AH30" s="43">
        <f t="shared" si="21"/>
        <v>1992</v>
      </c>
      <c r="AI30" s="43">
        <f t="shared" si="21"/>
        <v>1940</v>
      </c>
      <c r="AJ30" s="43">
        <f t="shared" si="21"/>
        <v>1900</v>
      </c>
      <c r="AK30" s="43">
        <f t="shared" si="21"/>
        <v>1940</v>
      </c>
      <c r="AL30" s="43">
        <f t="shared" si="21"/>
        <v>1945</v>
      </c>
      <c r="AM30" s="60">
        <f t="shared" ref="AM30:AP30" si="22">AM24+AM28</f>
        <v>1971</v>
      </c>
      <c r="AN30" s="60">
        <f t="shared" si="22"/>
        <v>1997</v>
      </c>
      <c r="AO30" s="60">
        <f t="shared" si="22"/>
        <v>2033</v>
      </c>
      <c r="AP30" s="60">
        <f t="shared" si="22"/>
        <v>2016</v>
      </c>
      <c r="AQ30" s="43">
        <f>AQ24+AQ28</f>
        <v>2030</v>
      </c>
      <c r="AR30" s="43">
        <f>AR24+AR28</f>
        <v>2084</v>
      </c>
      <c r="AS30" s="43">
        <f t="shared" ref="AS30:AT30" si="23">AS24+AS28</f>
        <v>2108</v>
      </c>
      <c r="AT30" s="43">
        <f t="shared" si="23"/>
        <v>2114</v>
      </c>
      <c r="AU30" s="43">
        <f t="shared" ref="AU30" si="24">AU24+AU28</f>
        <v>2112</v>
      </c>
      <c r="AV30" s="43">
        <f t="shared" ref="AV30:BA30" si="25">AV24+AV28</f>
        <v>2113</v>
      </c>
      <c r="AW30" s="43">
        <f t="shared" si="25"/>
        <v>2145</v>
      </c>
      <c r="AX30" s="43">
        <f t="shared" si="25"/>
        <v>2202</v>
      </c>
      <c r="AY30" s="43">
        <f t="shared" si="25"/>
        <v>2191</v>
      </c>
      <c r="AZ30" s="43">
        <f t="shared" si="25"/>
        <v>2216</v>
      </c>
      <c r="BA30" s="43">
        <f t="shared" si="25"/>
        <v>2213</v>
      </c>
      <c r="BB30" s="43">
        <f t="shared" ref="BB30" si="26">BB24+BB28</f>
        <v>2248</v>
      </c>
      <c r="BD30" s="38" t="s">
        <v>436</v>
      </c>
      <c r="BU30" s="181"/>
      <c r="BV30" s="181"/>
      <c r="BW30" s="181"/>
    </row>
    <row r="31" spans="2:75" ht="14.55" customHeight="1" x14ac:dyDescent="0.3">
      <c r="B31" s="39" t="s">
        <v>360</v>
      </c>
      <c r="C31" s="43">
        <f>C14</f>
        <v>46</v>
      </c>
      <c r="D31" s="43">
        <f t="shared" ref="D31:AL31" si="27">D14</f>
        <v>79</v>
      </c>
      <c r="E31" s="43">
        <f t="shared" si="27"/>
        <v>88</v>
      </c>
      <c r="F31" s="43">
        <f t="shared" si="27"/>
        <v>129</v>
      </c>
      <c r="G31" s="43">
        <f t="shared" si="27"/>
        <v>184</v>
      </c>
      <c r="H31" s="43">
        <f t="shared" si="27"/>
        <v>158</v>
      </c>
      <c r="I31" s="43">
        <f t="shared" si="27"/>
        <v>112</v>
      </c>
      <c r="J31" s="43">
        <f t="shared" si="27"/>
        <v>116</v>
      </c>
      <c r="K31" s="43">
        <f t="shared" si="27"/>
        <v>82</v>
      </c>
      <c r="L31" s="43">
        <f t="shared" si="27"/>
        <v>36</v>
      </c>
      <c r="M31" s="43">
        <f t="shared" si="27"/>
        <v>24</v>
      </c>
      <c r="N31" s="43">
        <f t="shared" si="27"/>
        <v>33</v>
      </c>
      <c r="O31" s="43">
        <f t="shared" si="27"/>
        <v>27</v>
      </c>
      <c r="P31" s="43">
        <f t="shared" si="27"/>
        <v>21</v>
      </c>
      <c r="Q31" s="43">
        <f t="shared" si="27"/>
        <v>12</v>
      </c>
      <c r="R31" s="43">
        <f t="shared" si="27"/>
        <v>21</v>
      </c>
      <c r="S31" s="43">
        <f t="shared" si="27"/>
        <v>18</v>
      </c>
      <c r="T31" s="43">
        <f t="shared" si="27"/>
        <v>47</v>
      </c>
      <c r="U31" s="43">
        <f t="shared" si="27"/>
        <v>43</v>
      </c>
      <c r="V31" s="43">
        <f t="shared" si="27"/>
        <v>49</v>
      </c>
      <c r="W31" s="43">
        <f t="shared" si="27"/>
        <v>299</v>
      </c>
      <c r="X31" s="43">
        <f t="shared" si="27"/>
        <v>266</v>
      </c>
      <c r="Y31" s="43">
        <f t="shared" si="27"/>
        <v>243</v>
      </c>
      <c r="Z31" s="43">
        <f t="shared" si="27"/>
        <v>340</v>
      </c>
      <c r="AA31" s="43">
        <f t="shared" si="27"/>
        <v>257</v>
      </c>
      <c r="AB31" s="43">
        <f t="shared" si="27"/>
        <v>233</v>
      </c>
      <c r="AC31" s="43">
        <f t="shared" si="27"/>
        <v>237</v>
      </c>
      <c r="AD31" s="43">
        <f t="shared" si="27"/>
        <v>397</v>
      </c>
      <c r="AE31" s="43">
        <f t="shared" si="27"/>
        <v>285</v>
      </c>
      <c r="AF31" s="43">
        <f t="shared" si="27"/>
        <v>288</v>
      </c>
      <c r="AG31" s="43">
        <f t="shared" si="27"/>
        <v>345</v>
      </c>
      <c r="AH31" s="43">
        <f t="shared" si="27"/>
        <v>598</v>
      </c>
      <c r="AI31" s="43">
        <f t="shared" si="27"/>
        <v>401</v>
      </c>
      <c r="AJ31" s="43">
        <f t="shared" si="27"/>
        <v>251</v>
      </c>
      <c r="AK31" s="43">
        <f t="shared" si="27"/>
        <v>273</v>
      </c>
      <c r="AL31" s="43">
        <f t="shared" si="27"/>
        <v>316</v>
      </c>
      <c r="AM31" s="221">
        <v>269</v>
      </c>
      <c r="AN31" s="221">
        <v>276</v>
      </c>
      <c r="AO31" s="221">
        <v>238</v>
      </c>
      <c r="AP31" s="221">
        <v>440</v>
      </c>
      <c r="AQ31" s="216">
        <v>376</v>
      </c>
      <c r="AR31" s="216">
        <v>340</v>
      </c>
      <c r="AS31" s="216">
        <v>297</v>
      </c>
      <c r="AT31" s="216">
        <f>AT32-AT30</f>
        <v>440</v>
      </c>
      <c r="AU31" s="216">
        <f>AU32-AU30</f>
        <v>414</v>
      </c>
      <c r="AV31" s="216">
        <v>357</v>
      </c>
      <c r="AW31" s="216">
        <v>297</v>
      </c>
      <c r="AX31" s="216">
        <v>540</v>
      </c>
      <c r="AY31" s="216">
        <v>412</v>
      </c>
      <c r="AZ31" s="216">
        <v>370</v>
      </c>
      <c r="BA31" s="216">
        <v>363</v>
      </c>
      <c r="BB31" s="216">
        <v>523</v>
      </c>
      <c r="BU31" s="181"/>
      <c r="BV31" s="181"/>
      <c r="BW31" s="181"/>
    </row>
    <row r="32" spans="2:75" ht="14.55" customHeight="1" x14ac:dyDescent="0.3">
      <c r="B32" s="67" t="s">
        <v>40</v>
      </c>
      <c r="C32" s="68">
        <f t="shared" ref="C32:AA32" si="28">C10+C12+C13+C14</f>
        <v>2135</v>
      </c>
      <c r="D32" s="68">
        <f t="shared" si="28"/>
        <v>2223</v>
      </c>
      <c r="E32" s="68">
        <f t="shared" si="28"/>
        <v>2216</v>
      </c>
      <c r="F32" s="68">
        <f t="shared" si="28"/>
        <v>2306</v>
      </c>
      <c r="G32" s="68">
        <f t="shared" si="28"/>
        <v>2327</v>
      </c>
      <c r="H32" s="68">
        <f t="shared" si="28"/>
        <v>2295</v>
      </c>
      <c r="I32" s="68">
        <f t="shared" si="28"/>
        <v>2239</v>
      </c>
      <c r="J32" s="68">
        <f t="shared" si="28"/>
        <v>2224</v>
      </c>
      <c r="K32" s="68">
        <f t="shared" si="28"/>
        <v>2119</v>
      </c>
      <c r="L32" s="68">
        <f t="shared" si="28"/>
        <v>2082</v>
      </c>
      <c r="M32" s="68">
        <f t="shared" si="28"/>
        <v>2065</v>
      </c>
      <c r="N32" s="68">
        <f t="shared" si="28"/>
        <v>2123</v>
      </c>
      <c r="O32" s="68">
        <f t="shared" si="28"/>
        <v>2149</v>
      </c>
      <c r="P32" s="68">
        <f t="shared" si="28"/>
        <v>2110</v>
      </c>
      <c r="Q32" s="68">
        <f t="shared" si="28"/>
        <v>2166</v>
      </c>
      <c r="R32" s="68">
        <f t="shared" si="28"/>
        <v>2176</v>
      </c>
      <c r="S32" s="68">
        <f t="shared" si="28"/>
        <v>2140</v>
      </c>
      <c r="T32" s="68">
        <f t="shared" si="28"/>
        <v>2102</v>
      </c>
      <c r="U32" s="68">
        <f t="shared" si="28"/>
        <v>2156</v>
      </c>
      <c r="V32" s="68">
        <f t="shared" si="28"/>
        <v>2214</v>
      </c>
      <c r="W32" s="68">
        <f t="shared" si="28"/>
        <v>2375</v>
      </c>
      <c r="X32" s="68">
        <f t="shared" si="28"/>
        <v>2335</v>
      </c>
      <c r="Y32" s="68">
        <f t="shared" si="28"/>
        <v>2333</v>
      </c>
      <c r="Z32" s="68">
        <f t="shared" si="28"/>
        <v>2376</v>
      </c>
      <c r="AA32" s="68">
        <f t="shared" si="28"/>
        <v>2237</v>
      </c>
      <c r="AB32" s="222">
        <v>2246</v>
      </c>
      <c r="AC32" s="222">
        <v>2264</v>
      </c>
      <c r="AD32" s="222">
        <v>2445</v>
      </c>
      <c r="AE32" s="222">
        <v>2232</v>
      </c>
      <c r="AF32" s="222">
        <v>2206</v>
      </c>
      <c r="AG32" s="222">
        <v>2285</v>
      </c>
      <c r="AH32" s="222">
        <v>2590</v>
      </c>
      <c r="AI32" s="222">
        <v>2341</v>
      </c>
      <c r="AJ32" s="222">
        <v>2151</v>
      </c>
      <c r="AK32" s="222">
        <v>2213</v>
      </c>
      <c r="AL32" s="222">
        <v>2261</v>
      </c>
      <c r="AM32" s="222">
        <v>2240</v>
      </c>
      <c r="AN32" s="222">
        <v>2274</v>
      </c>
      <c r="AO32" s="222">
        <v>2271</v>
      </c>
      <c r="AP32" s="222">
        <v>2456</v>
      </c>
      <c r="AQ32" s="222">
        <v>2406</v>
      </c>
      <c r="AR32" s="222">
        <v>2424</v>
      </c>
      <c r="AS32" s="222">
        <v>2405</v>
      </c>
      <c r="AT32" s="222">
        <v>2554</v>
      </c>
      <c r="AU32" s="222">
        <v>2526</v>
      </c>
      <c r="AV32" s="222">
        <v>2470</v>
      </c>
      <c r="AW32" s="222">
        <v>2442</v>
      </c>
      <c r="AX32" s="222">
        <v>2742</v>
      </c>
      <c r="AY32" s="222">
        <v>2603</v>
      </c>
      <c r="AZ32" s="222">
        <v>2586</v>
      </c>
      <c r="BA32" s="222">
        <v>2576</v>
      </c>
      <c r="BB32" s="222">
        <v>2771</v>
      </c>
      <c r="BD32" s="38" t="s">
        <v>361</v>
      </c>
      <c r="BU32" s="181"/>
      <c r="BV32" s="181"/>
      <c r="BW32" s="181"/>
    </row>
    <row r="33" spans="2:72" s="73" customFormat="1" ht="14.55" customHeight="1" x14ac:dyDescent="0.3">
      <c r="B33" s="70" t="s">
        <v>362</v>
      </c>
      <c r="C33" s="71"/>
      <c r="D33" s="71"/>
      <c r="E33" s="71"/>
      <c r="F33" s="71"/>
      <c r="G33" s="71"/>
      <c r="H33" s="71"/>
      <c r="I33" s="71"/>
      <c r="J33" s="71"/>
      <c r="K33" s="71"/>
      <c r="L33" s="71"/>
      <c r="M33" s="71"/>
      <c r="N33" s="71"/>
      <c r="O33" s="71"/>
      <c r="P33" s="71"/>
      <c r="Q33" s="71"/>
      <c r="R33" s="71"/>
      <c r="S33" s="71"/>
      <c r="T33" s="71"/>
      <c r="U33" s="71"/>
      <c r="V33" s="71"/>
      <c r="W33" s="71"/>
      <c r="X33" s="71"/>
      <c r="Y33" s="71"/>
      <c r="Z33" s="71"/>
      <c r="AA33" s="71"/>
      <c r="AB33" s="71"/>
      <c r="AC33" s="71"/>
      <c r="AD33" s="71"/>
      <c r="AE33" s="72"/>
      <c r="AF33" s="72"/>
      <c r="AG33" s="72"/>
      <c r="AH33" s="72"/>
      <c r="AI33" s="72"/>
      <c r="AJ33" s="72"/>
      <c r="AK33" s="72"/>
      <c r="AL33" s="72"/>
      <c r="AM33" s="223">
        <v>2228</v>
      </c>
      <c r="AN33" s="223">
        <v>2264</v>
      </c>
      <c r="AO33" s="223">
        <v>2263</v>
      </c>
      <c r="AP33" s="223">
        <v>2448</v>
      </c>
      <c r="AQ33" s="43"/>
      <c r="AR33" s="43"/>
      <c r="AS33" s="43"/>
      <c r="AT33" s="43"/>
      <c r="AU33" s="43"/>
      <c r="AV33" s="43"/>
      <c r="AW33" s="43"/>
      <c r="AX33" s="43"/>
      <c r="AY33" s="43"/>
      <c r="AZ33" s="43"/>
      <c r="BA33" s="43"/>
      <c r="BB33" s="43"/>
      <c r="BE33"/>
      <c r="BF33"/>
      <c r="BG33"/>
      <c r="BH33"/>
      <c r="BI33"/>
      <c r="BJ33"/>
      <c r="BK33"/>
      <c r="BL33"/>
      <c r="BM33"/>
      <c r="BN33"/>
      <c r="BO33"/>
      <c r="BP33"/>
      <c r="BQ33"/>
      <c r="BR33"/>
      <c r="BS33"/>
      <c r="BT33"/>
    </row>
    <row r="34" spans="2:72" ht="14.55" customHeight="1" x14ac:dyDescent="0.3">
      <c r="B34" s="39"/>
      <c r="C34" s="74"/>
      <c r="D34" s="74"/>
      <c r="E34" s="74"/>
      <c r="F34" s="74"/>
      <c r="G34" s="74"/>
      <c r="H34" s="74"/>
      <c r="I34" s="74"/>
      <c r="J34" s="74"/>
      <c r="K34" s="74"/>
      <c r="L34" s="74"/>
      <c r="M34" s="74"/>
      <c r="N34" s="74"/>
      <c r="O34" s="74"/>
      <c r="P34" s="74"/>
      <c r="Q34" s="74"/>
      <c r="R34" s="74"/>
      <c r="S34" s="74"/>
      <c r="T34" s="74"/>
      <c r="U34" s="74"/>
      <c r="V34" s="74"/>
      <c r="W34" s="74"/>
      <c r="X34" s="74"/>
      <c r="Y34" s="74"/>
      <c r="Z34" s="74"/>
      <c r="AA34" s="74"/>
      <c r="AB34" s="74"/>
      <c r="AC34" s="74"/>
      <c r="AD34" s="74"/>
      <c r="AE34" s="75"/>
      <c r="AF34" s="75"/>
      <c r="AG34" s="75"/>
      <c r="AH34" s="75"/>
      <c r="AI34" s="75"/>
      <c r="AJ34" s="75"/>
      <c r="AK34" s="75"/>
      <c r="AL34" s="75"/>
      <c r="AM34" s="75"/>
      <c r="AN34" s="75"/>
      <c r="AO34" s="76"/>
      <c r="AP34" s="75"/>
      <c r="AQ34" s="76"/>
      <c r="AR34" s="75"/>
      <c r="AS34" s="293">
        <f t="shared" ref="AS34:AV34" si="29">AS19/AO19-1</f>
        <v>6.0025542784163388E-2</v>
      </c>
      <c r="AT34" s="293">
        <f t="shared" si="29"/>
        <v>0.10966057441253274</v>
      </c>
      <c r="AU34" s="293">
        <f t="shared" si="29"/>
        <v>0.10063694267515921</v>
      </c>
      <c r="AV34" s="293">
        <f t="shared" si="29"/>
        <v>7.5308641975308621E-2</v>
      </c>
      <c r="AW34" s="293">
        <f t="shared" ref="AW34:BB35" si="30">AW19/AS19-1</f>
        <v>6.2650602409638489E-2</v>
      </c>
      <c r="AX34" s="293">
        <f t="shared" si="30"/>
        <v>6.23529411764705E-2</v>
      </c>
      <c r="AY34" s="293">
        <f t="shared" si="30"/>
        <v>5.439814814814814E-2</v>
      </c>
      <c r="AZ34" s="293">
        <f t="shared" si="30"/>
        <v>5.1664753157290466E-2</v>
      </c>
      <c r="BA34" s="293">
        <f t="shared" si="30"/>
        <v>4.8752834467120199E-2</v>
      </c>
      <c r="BB34" s="293">
        <f t="shared" si="30"/>
        <v>4.9833887043189362E-2</v>
      </c>
    </row>
    <row r="35" spans="2:72" ht="14.55" customHeight="1" x14ac:dyDescent="0.3">
      <c r="B35" s="41" t="s">
        <v>405</v>
      </c>
      <c r="C35" s="74"/>
      <c r="D35" s="74"/>
      <c r="E35" s="74"/>
      <c r="F35" s="74"/>
      <c r="G35" s="74"/>
      <c r="H35" s="74"/>
      <c r="I35" s="74"/>
      <c r="J35" s="74"/>
      <c r="K35" s="74"/>
      <c r="L35" s="74"/>
      <c r="M35" s="74"/>
      <c r="N35" s="74"/>
      <c r="O35" s="74"/>
      <c r="P35" s="74"/>
      <c r="Q35" s="74"/>
      <c r="R35" s="74"/>
      <c r="S35" s="74"/>
      <c r="T35" s="74"/>
      <c r="U35" s="74"/>
      <c r="V35" s="74"/>
      <c r="W35" s="74"/>
      <c r="X35" s="74"/>
      <c r="Y35" s="74"/>
      <c r="Z35" s="74"/>
      <c r="AA35" s="74"/>
      <c r="AB35" s="74"/>
      <c r="AC35" s="74"/>
      <c r="AD35" s="74"/>
      <c r="AE35" s="75"/>
      <c r="AF35" s="75"/>
      <c r="AG35" s="75"/>
      <c r="AH35" s="75"/>
      <c r="AI35" s="75"/>
      <c r="AJ35" s="75"/>
      <c r="AK35" s="75"/>
      <c r="AL35" s="75"/>
      <c r="AM35" s="75"/>
      <c r="AN35" s="75"/>
      <c r="AO35" s="75"/>
      <c r="AP35" s="75"/>
      <c r="AQ35" s="75"/>
      <c r="AR35" s="75"/>
      <c r="AS35" s="293">
        <f t="shared" ref="AS35" si="31">AS20/AO20-1</f>
        <v>-1.3138686131386912E-2</v>
      </c>
      <c r="AT35" s="293">
        <f t="shared" ref="AT35" si="32">AT20/AP20-1</f>
        <v>3.969465648854964E-2</v>
      </c>
      <c r="AU35" s="293">
        <f t="shared" ref="AU35" si="33">AU20/AQ20-1</f>
        <v>6.0882800608828003E-3</v>
      </c>
      <c r="AV35" s="293">
        <f t="shared" ref="AV35" si="34">AV20/AR20-1</f>
        <v>-4.123711340206182E-2</v>
      </c>
      <c r="AW35" s="293">
        <f t="shared" si="30"/>
        <v>-3.5502958579881616E-2</v>
      </c>
      <c r="AX35" s="293">
        <f t="shared" si="30"/>
        <v>-3.8179148311306865E-2</v>
      </c>
      <c r="AY35" s="293">
        <f t="shared" si="30"/>
        <v>-1.8154311649016597E-2</v>
      </c>
      <c r="AZ35" s="293">
        <f t="shared" si="30"/>
        <v>-4.6082949308755561E-3</v>
      </c>
      <c r="BA35" s="293">
        <f t="shared" si="30"/>
        <v>-1.6871165644171793E-2</v>
      </c>
      <c r="BB35" s="293">
        <f t="shared" si="30"/>
        <v>-4.2748091603053484E-2</v>
      </c>
    </row>
    <row r="36" spans="2:72" ht="14.55" customHeight="1" x14ac:dyDescent="0.3">
      <c r="B36" s="59" t="s">
        <v>363</v>
      </c>
      <c r="C36" s="74"/>
      <c r="D36" s="74"/>
      <c r="E36" s="74"/>
      <c r="F36" s="74"/>
      <c r="G36" s="224">
        <v>997</v>
      </c>
      <c r="H36" s="224">
        <v>1015</v>
      </c>
      <c r="I36" s="224">
        <v>996</v>
      </c>
      <c r="J36" s="224">
        <v>1016</v>
      </c>
      <c r="K36" s="224">
        <v>984</v>
      </c>
      <c r="L36" s="224">
        <v>986</v>
      </c>
      <c r="M36" s="224">
        <v>962</v>
      </c>
      <c r="N36" s="224">
        <v>985</v>
      </c>
      <c r="O36" s="224">
        <v>972</v>
      </c>
      <c r="P36" s="224">
        <v>976</v>
      </c>
      <c r="Q36" s="224">
        <v>976</v>
      </c>
      <c r="R36" s="224">
        <v>1012</v>
      </c>
      <c r="S36" s="224">
        <v>997</v>
      </c>
      <c r="T36" s="224">
        <v>978</v>
      </c>
      <c r="U36" s="224">
        <v>965</v>
      </c>
      <c r="V36" s="224">
        <v>1010</v>
      </c>
      <c r="W36" s="224">
        <v>936</v>
      </c>
      <c r="X36" s="224">
        <v>946</v>
      </c>
      <c r="Y36" s="224">
        <v>997</v>
      </c>
      <c r="Z36" s="224">
        <v>903</v>
      </c>
      <c r="AA36" s="224">
        <v>985</v>
      </c>
      <c r="AB36" s="224">
        <v>1009</v>
      </c>
      <c r="AC36" s="224">
        <v>1025</v>
      </c>
      <c r="AD36" s="224">
        <v>1053</v>
      </c>
      <c r="AE36" s="224">
        <v>1000</v>
      </c>
      <c r="AF36" s="224">
        <v>972</v>
      </c>
      <c r="AG36" s="224">
        <v>979</v>
      </c>
      <c r="AH36" s="224">
        <v>989</v>
      </c>
      <c r="AI36" s="224">
        <v>984</v>
      </c>
      <c r="AJ36" s="224">
        <v>974</v>
      </c>
      <c r="AK36" s="224">
        <v>956</v>
      </c>
      <c r="AL36" s="224">
        <v>967</v>
      </c>
      <c r="AM36" s="225">
        <v>974</v>
      </c>
      <c r="AN36" s="225">
        <v>1002</v>
      </c>
      <c r="AO36" s="225">
        <v>1030</v>
      </c>
      <c r="AP36" s="225">
        <v>1019</v>
      </c>
      <c r="AQ36" s="224">
        <v>1041</v>
      </c>
      <c r="AR36" s="224">
        <v>1069</v>
      </c>
      <c r="AS36" s="224">
        <v>1092</v>
      </c>
      <c r="AT36" s="224">
        <v>1112</v>
      </c>
      <c r="AU36" s="224">
        <v>1123</v>
      </c>
      <c r="AV36" s="224">
        <v>1128</v>
      </c>
      <c r="AW36" s="224">
        <v>1154</v>
      </c>
      <c r="AX36" s="224">
        <v>1186</v>
      </c>
      <c r="AY36" s="224">
        <v>1190</v>
      </c>
      <c r="AZ36" s="224">
        <v>1201</v>
      </c>
      <c r="BA36" s="224">
        <v>1212</v>
      </c>
      <c r="BB36" s="224">
        <v>1240</v>
      </c>
    </row>
    <row r="37" spans="2:72" ht="14.55" customHeight="1" x14ac:dyDescent="0.3">
      <c r="B37" s="59" t="s">
        <v>364</v>
      </c>
      <c r="C37" s="74"/>
      <c r="D37" s="74"/>
      <c r="E37" s="74"/>
      <c r="F37" s="74"/>
      <c r="G37" s="224">
        <v>1069</v>
      </c>
      <c r="H37" s="224">
        <v>1047</v>
      </c>
      <c r="I37" s="224">
        <v>1055</v>
      </c>
      <c r="J37" s="224">
        <v>1008</v>
      </c>
      <c r="K37" s="224">
        <v>969</v>
      </c>
      <c r="L37" s="224">
        <v>972</v>
      </c>
      <c r="M37" s="224">
        <v>992</v>
      </c>
      <c r="N37" s="224">
        <v>1007</v>
      </c>
      <c r="O37" s="224">
        <v>1052</v>
      </c>
      <c r="P37" s="224">
        <v>1008</v>
      </c>
      <c r="Q37" s="224">
        <v>1070</v>
      </c>
      <c r="R37" s="224">
        <v>1035</v>
      </c>
      <c r="S37" s="224">
        <v>1008</v>
      </c>
      <c r="T37" s="224">
        <v>956</v>
      </c>
      <c r="U37" s="224">
        <v>1017</v>
      </c>
      <c r="V37" s="224">
        <v>1018</v>
      </c>
      <c r="W37" s="224">
        <v>1006</v>
      </c>
      <c r="X37" s="224">
        <v>982</v>
      </c>
      <c r="Y37" s="224">
        <v>947</v>
      </c>
      <c r="Z37" s="224">
        <v>994</v>
      </c>
      <c r="AA37" s="224">
        <v>849</v>
      </c>
      <c r="AB37" s="224">
        <v>854</v>
      </c>
      <c r="AC37" s="224">
        <v>851</v>
      </c>
      <c r="AD37" s="224">
        <v>845</v>
      </c>
      <c r="AE37" s="224">
        <v>797</v>
      </c>
      <c r="AF37" s="224">
        <v>791</v>
      </c>
      <c r="AG37" s="224">
        <v>794</v>
      </c>
      <c r="AH37" s="224">
        <v>783</v>
      </c>
      <c r="AI37" s="224">
        <v>714</v>
      </c>
      <c r="AJ37" s="224">
        <v>686</v>
      </c>
      <c r="AK37" s="224">
        <v>717</v>
      </c>
      <c r="AL37" s="224">
        <v>696</v>
      </c>
      <c r="AM37" s="225">
        <v>690</v>
      </c>
      <c r="AN37" s="225">
        <v>685</v>
      </c>
      <c r="AO37" s="225">
        <v>685</v>
      </c>
      <c r="AP37" s="225">
        <v>655</v>
      </c>
      <c r="AQ37" s="224">
        <v>657</v>
      </c>
      <c r="AR37" s="224">
        <v>679</v>
      </c>
      <c r="AS37" s="224">
        <v>676</v>
      </c>
      <c r="AT37" s="224">
        <v>681</v>
      </c>
      <c r="AU37" s="224">
        <v>661</v>
      </c>
      <c r="AV37" s="224">
        <v>651</v>
      </c>
      <c r="AW37" s="224">
        <v>652</v>
      </c>
      <c r="AX37" s="224">
        <v>655</v>
      </c>
      <c r="AY37" s="224">
        <v>649</v>
      </c>
      <c r="AZ37" s="224">
        <v>648</v>
      </c>
      <c r="BA37" s="224">
        <v>641</v>
      </c>
      <c r="BB37" s="224">
        <v>627</v>
      </c>
    </row>
    <row r="38" spans="2:72" ht="14.55" customHeight="1" x14ac:dyDescent="0.3">
      <c r="B38" s="61" t="s">
        <v>365</v>
      </c>
      <c r="C38" s="77"/>
      <c r="D38" s="77"/>
      <c r="E38" s="77"/>
      <c r="F38" s="77"/>
      <c r="G38" s="78">
        <f>SUM(G36:G37)</f>
        <v>2066</v>
      </c>
      <c r="H38" s="78">
        <f t="shared" ref="H38:AK38" si="35">SUM(H36:H37)</f>
        <v>2062</v>
      </c>
      <c r="I38" s="78">
        <f t="shared" si="35"/>
        <v>2051</v>
      </c>
      <c r="J38" s="78">
        <f t="shared" si="35"/>
        <v>2024</v>
      </c>
      <c r="K38" s="78">
        <f t="shared" si="35"/>
        <v>1953</v>
      </c>
      <c r="L38" s="78">
        <f t="shared" si="35"/>
        <v>1958</v>
      </c>
      <c r="M38" s="78">
        <f t="shared" si="35"/>
        <v>1954</v>
      </c>
      <c r="N38" s="78">
        <f t="shared" si="35"/>
        <v>1992</v>
      </c>
      <c r="O38" s="78">
        <f t="shared" si="35"/>
        <v>2024</v>
      </c>
      <c r="P38" s="78">
        <f t="shared" si="35"/>
        <v>1984</v>
      </c>
      <c r="Q38" s="78">
        <f t="shared" si="35"/>
        <v>2046</v>
      </c>
      <c r="R38" s="78">
        <f t="shared" si="35"/>
        <v>2047</v>
      </c>
      <c r="S38" s="78">
        <f t="shared" si="35"/>
        <v>2005</v>
      </c>
      <c r="T38" s="78">
        <f t="shared" si="35"/>
        <v>1934</v>
      </c>
      <c r="U38" s="78">
        <f t="shared" si="35"/>
        <v>1982</v>
      </c>
      <c r="V38" s="78">
        <f t="shared" si="35"/>
        <v>2028</v>
      </c>
      <c r="W38" s="78">
        <f t="shared" si="35"/>
        <v>1942</v>
      </c>
      <c r="X38" s="78">
        <f t="shared" si="35"/>
        <v>1928</v>
      </c>
      <c r="Y38" s="78">
        <f t="shared" si="35"/>
        <v>1944</v>
      </c>
      <c r="Z38" s="78">
        <f t="shared" si="35"/>
        <v>1897</v>
      </c>
      <c r="AA38" s="78">
        <f t="shared" si="35"/>
        <v>1834</v>
      </c>
      <c r="AB38" s="78">
        <f t="shared" si="35"/>
        <v>1863</v>
      </c>
      <c r="AC38" s="78">
        <f t="shared" si="35"/>
        <v>1876</v>
      </c>
      <c r="AD38" s="78">
        <f t="shared" si="35"/>
        <v>1898</v>
      </c>
      <c r="AE38" s="78">
        <f t="shared" si="35"/>
        <v>1797</v>
      </c>
      <c r="AF38" s="78">
        <f t="shared" si="35"/>
        <v>1763</v>
      </c>
      <c r="AG38" s="78">
        <f t="shared" si="35"/>
        <v>1773</v>
      </c>
      <c r="AH38" s="78">
        <f t="shared" si="35"/>
        <v>1772</v>
      </c>
      <c r="AI38" s="78">
        <f t="shared" si="35"/>
        <v>1698</v>
      </c>
      <c r="AJ38" s="78">
        <f t="shared" si="35"/>
        <v>1660</v>
      </c>
      <c r="AK38" s="78">
        <f t="shared" si="35"/>
        <v>1673</v>
      </c>
      <c r="AL38" s="78">
        <f>SUM(AL36:AL37)</f>
        <v>1663</v>
      </c>
      <c r="AM38" s="78">
        <f>SUM(AM36:AM37)</f>
        <v>1664</v>
      </c>
      <c r="AN38" s="78">
        <f t="shared" ref="AN38:AR38" si="36">SUM(AN36:AN37)</f>
        <v>1687</v>
      </c>
      <c r="AO38" s="78">
        <f t="shared" si="36"/>
        <v>1715</v>
      </c>
      <c r="AP38" s="78">
        <f>SUM(AP36:AP37)</f>
        <v>1674</v>
      </c>
      <c r="AQ38" s="78">
        <f>SUM(AQ36:AQ37)</f>
        <v>1698</v>
      </c>
      <c r="AR38" s="78">
        <f t="shared" si="36"/>
        <v>1748</v>
      </c>
      <c r="AS38" s="78">
        <f t="shared" ref="AS38:AT38" si="37">SUM(AS36:AS37)</f>
        <v>1768</v>
      </c>
      <c r="AT38" s="78">
        <f t="shared" si="37"/>
        <v>1793</v>
      </c>
      <c r="AU38" s="78">
        <f t="shared" ref="AU38:AV38" si="38">SUM(AU36:AU37)</f>
        <v>1784</v>
      </c>
      <c r="AV38" s="78">
        <f t="shared" si="38"/>
        <v>1779</v>
      </c>
      <c r="AW38" s="78">
        <f t="shared" ref="AW38:AY38" si="39">SUM(AW36:AW37)</f>
        <v>1806</v>
      </c>
      <c r="AX38" s="78">
        <f t="shared" si="39"/>
        <v>1841</v>
      </c>
      <c r="AY38" s="78">
        <f t="shared" si="39"/>
        <v>1839</v>
      </c>
      <c r="AZ38" s="78">
        <f t="shared" ref="AZ38:BA38" si="40">SUM(AZ36:AZ37)</f>
        <v>1849</v>
      </c>
      <c r="BA38" s="78">
        <f t="shared" si="40"/>
        <v>1853</v>
      </c>
      <c r="BB38" s="78">
        <f t="shared" ref="BB38" si="41">SUM(BB36:BB37)</f>
        <v>1867</v>
      </c>
    </row>
    <row r="39" spans="2:72" s="73" customFormat="1" ht="14.55" customHeight="1" x14ac:dyDescent="0.3">
      <c r="B39" s="79"/>
      <c r="C39" s="71"/>
      <c r="D39" s="71"/>
      <c r="E39" s="71"/>
      <c r="F39" s="71"/>
      <c r="G39" s="72"/>
      <c r="H39" s="72"/>
      <c r="I39" s="72"/>
      <c r="J39" s="72"/>
      <c r="K39" s="72"/>
      <c r="L39" s="72"/>
      <c r="M39" s="72"/>
      <c r="N39" s="72"/>
      <c r="O39" s="72"/>
      <c r="P39" s="72"/>
      <c r="Q39" s="72"/>
      <c r="R39" s="72"/>
      <c r="S39" s="72"/>
      <c r="T39" s="72"/>
      <c r="U39" s="72"/>
      <c r="V39" s="72"/>
      <c r="W39" s="72"/>
      <c r="X39" s="72"/>
      <c r="Y39" s="72"/>
      <c r="Z39" s="72"/>
      <c r="AA39" s="72"/>
      <c r="AB39" s="72"/>
      <c r="AC39" s="72"/>
      <c r="AD39" s="72"/>
      <c r="AE39" s="72"/>
      <c r="AF39" s="72"/>
      <c r="AG39" s="72"/>
      <c r="AH39" s="72"/>
      <c r="AI39" s="72"/>
      <c r="AJ39" s="72"/>
      <c r="AK39" s="72"/>
      <c r="AL39" s="72"/>
      <c r="AM39" s="72"/>
      <c r="AN39" s="72"/>
      <c r="AO39" s="72"/>
      <c r="AP39" s="72"/>
      <c r="AQ39" s="72"/>
      <c r="AR39" s="72"/>
      <c r="AS39" s="72"/>
      <c r="AT39" s="72"/>
      <c r="AU39" s="72"/>
      <c r="AV39" s="72"/>
      <c r="AW39" s="72"/>
      <c r="AX39" s="72"/>
      <c r="AY39" s="72"/>
      <c r="AZ39" s="72"/>
      <c r="BA39" s="72"/>
      <c r="BB39" s="72"/>
      <c r="BE39"/>
      <c r="BF39"/>
      <c r="BG39"/>
      <c r="BH39"/>
      <c r="BI39"/>
      <c r="BJ39"/>
      <c r="BK39"/>
      <c r="BL39"/>
      <c r="BM39"/>
      <c r="BN39"/>
      <c r="BO39"/>
      <c r="BP39"/>
      <c r="BQ39"/>
      <c r="BR39"/>
      <c r="BS39"/>
      <c r="BT39"/>
    </row>
    <row r="40" spans="2:72" ht="14.55" customHeight="1" x14ac:dyDescent="0.3">
      <c r="B40" s="39"/>
      <c r="C40" s="74"/>
      <c r="D40" s="74"/>
      <c r="E40" s="74"/>
      <c r="F40" s="74"/>
      <c r="G40" s="74"/>
      <c r="H40" s="74"/>
      <c r="I40" s="74"/>
      <c r="J40" s="74"/>
      <c r="K40" s="74"/>
      <c r="L40" s="74"/>
      <c r="M40" s="74"/>
      <c r="N40" s="74"/>
      <c r="O40" s="74"/>
      <c r="P40" s="74"/>
      <c r="Q40" s="74"/>
      <c r="R40" s="74"/>
      <c r="S40" s="74"/>
      <c r="T40" s="74"/>
      <c r="U40" s="74"/>
      <c r="V40" s="74"/>
      <c r="W40" s="74"/>
      <c r="X40" s="74"/>
      <c r="Y40" s="74"/>
      <c r="Z40" s="74"/>
      <c r="AA40" s="74"/>
      <c r="AB40" s="74"/>
      <c r="AC40" s="74"/>
      <c r="AD40" s="74"/>
      <c r="AE40" s="75"/>
      <c r="AF40" s="75"/>
      <c r="AG40" s="75"/>
      <c r="AH40" s="75"/>
      <c r="AI40" s="75"/>
      <c r="AJ40" s="75"/>
      <c r="AK40" s="75"/>
      <c r="AL40" s="75"/>
      <c r="AM40" s="75"/>
      <c r="AN40" s="75"/>
      <c r="AO40" s="75"/>
      <c r="AP40" s="75"/>
      <c r="AQ40" s="75"/>
      <c r="AR40" s="75"/>
      <c r="AS40" s="75"/>
      <c r="AT40" s="75"/>
      <c r="AU40" s="75"/>
      <c r="AV40" s="75"/>
      <c r="AW40" s="75"/>
      <c r="AX40" s="75"/>
      <c r="AY40" s="75"/>
      <c r="AZ40" s="75"/>
      <c r="BA40" s="75"/>
      <c r="BB40" s="75"/>
    </row>
    <row r="41" spans="2:72" ht="14.55" customHeight="1" x14ac:dyDescent="0.3">
      <c r="B41" s="42" t="s">
        <v>200</v>
      </c>
      <c r="C41" s="97"/>
      <c r="D41" s="97"/>
      <c r="E41" s="97"/>
      <c r="F41" s="97"/>
      <c r="G41" s="97"/>
      <c r="H41" s="97"/>
      <c r="I41" s="97"/>
      <c r="J41" s="97"/>
      <c r="K41" s="97"/>
      <c r="L41" s="97"/>
      <c r="M41" s="97"/>
      <c r="N41" s="97"/>
      <c r="O41" s="97"/>
      <c r="P41" s="97"/>
      <c r="Q41" s="97"/>
      <c r="R41" s="97"/>
      <c r="S41" s="69"/>
      <c r="T41" s="69"/>
      <c r="U41" s="69"/>
      <c r="V41" s="69"/>
      <c r="W41" s="69"/>
      <c r="X41" s="69"/>
      <c r="Y41" s="69"/>
      <c r="Z41" s="69"/>
      <c r="AA41" s="69"/>
      <c r="AB41" s="69"/>
      <c r="AC41" s="310"/>
      <c r="AD41" s="310"/>
      <c r="AE41" s="310"/>
      <c r="AF41" s="310"/>
      <c r="AG41" s="310"/>
      <c r="AH41" s="310"/>
      <c r="AI41" s="310"/>
      <c r="AJ41" s="310"/>
      <c r="AK41" s="310"/>
      <c r="AL41" s="310"/>
      <c r="AM41" s="310"/>
      <c r="AN41" s="310"/>
      <c r="AO41" s="310"/>
      <c r="AP41" s="310"/>
      <c r="AQ41" s="311">
        <v>972</v>
      </c>
      <c r="AR41" s="311">
        <v>919</v>
      </c>
      <c r="AS41" s="311">
        <v>893</v>
      </c>
      <c r="AT41" s="311">
        <v>1047</v>
      </c>
      <c r="AU41" s="311">
        <v>1023</v>
      </c>
      <c r="AV41" s="311">
        <v>938</v>
      </c>
      <c r="AW41" s="311">
        <v>895</v>
      </c>
      <c r="AX41" s="230">
        <v>1175</v>
      </c>
      <c r="AY41" s="230">
        <v>1037</v>
      </c>
      <c r="AZ41" s="230">
        <v>996</v>
      </c>
      <c r="BA41" s="230">
        <v>971</v>
      </c>
      <c r="BB41" s="230">
        <v>1181</v>
      </c>
      <c r="BE41" s="304">
        <f>AZ41-AV41</f>
        <v>58</v>
      </c>
      <c r="BF41" s="304">
        <f t="shared" ref="BF41:BG48" si="42">BA41-AW41</f>
        <v>76</v>
      </c>
      <c r="BG41" s="304">
        <f t="shared" si="42"/>
        <v>6</v>
      </c>
    </row>
    <row r="42" spans="2:72" ht="14.55" customHeight="1" x14ac:dyDescent="0.3">
      <c r="B42" s="42" t="s">
        <v>396</v>
      </c>
      <c r="C42" s="97"/>
      <c r="D42" s="97"/>
      <c r="E42" s="97"/>
      <c r="F42" s="97"/>
      <c r="G42" s="97"/>
      <c r="H42" s="97"/>
      <c r="I42" s="97"/>
      <c r="J42" s="97"/>
      <c r="K42" s="97"/>
      <c r="L42" s="97"/>
      <c r="M42" s="97"/>
      <c r="N42" s="97"/>
      <c r="O42" s="97"/>
      <c r="P42" s="97"/>
      <c r="Q42" s="97"/>
      <c r="R42" s="97"/>
      <c r="S42" s="230"/>
      <c r="T42" s="230"/>
      <c r="U42" s="230"/>
      <c r="V42" s="230"/>
      <c r="W42" s="230"/>
      <c r="X42" s="230"/>
      <c r="Y42" s="230"/>
      <c r="Z42" s="230"/>
      <c r="AA42" s="230"/>
      <c r="AB42" s="230"/>
      <c r="AC42" s="230"/>
      <c r="AD42" s="230"/>
      <c r="AE42" s="230"/>
      <c r="AF42" s="230"/>
      <c r="AG42" s="230"/>
      <c r="AH42" s="230"/>
      <c r="AI42" s="230"/>
      <c r="AJ42" s="230"/>
      <c r="AK42" s="230"/>
      <c r="AL42" s="230"/>
      <c r="AM42" s="230"/>
      <c r="AN42" s="230"/>
      <c r="AO42" s="230"/>
      <c r="AP42" s="230"/>
      <c r="AQ42" s="230">
        <v>66</v>
      </c>
      <c r="AR42" s="230">
        <v>67</v>
      </c>
      <c r="AS42" s="230">
        <v>63</v>
      </c>
      <c r="AT42" s="230">
        <v>63</v>
      </c>
      <c r="AU42" s="230">
        <v>61</v>
      </c>
      <c r="AV42" s="230">
        <v>62</v>
      </c>
      <c r="AW42" s="230">
        <v>62</v>
      </c>
      <c r="AX42" s="230">
        <v>62</v>
      </c>
      <c r="AY42" s="230">
        <v>62</v>
      </c>
      <c r="AZ42" s="230">
        <v>62</v>
      </c>
      <c r="BA42" s="230">
        <v>62</v>
      </c>
      <c r="BB42" s="230">
        <v>62</v>
      </c>
      <c r="BE42" s="304">
        <f t="shared" ref="BE42:BE48" si="43">AZ42-AV42</f>
        <v>0</v>
      </c>
      <c r="BF42" s="304">
        <f t="shared" si="42"/>
        <v>0</v>
      </c>
      <c r="BG42" s="304">
        <f t="shared" si="42"/>
        <v>0</v>
      </c>
    </row>
    <row r="43" spans="2:72" ht="14.55" customHeight="1" x14ac:dyDescent="0.3">
      <c r="B43" s="42" t="s">
        <v>203</v>
      </c>
      <c r="C43" s="97"/>
      <c r="D43" s="97"/>
      <c r="E43" s="97"/>
      <c r="F43" s="97"/>
      <c r="G43" s="97"/>
      <c r="H43" s="97"/>
      <c r="I43" s="97"/>
      <c r="J43" s="97"/>
      <c r="K43" s="97"/>
      <c r="L43" s="97"/>
      <c r="M43" s="97"/>
      <c r="N43" s="97"/>
      <c r="O43" s="97"/>
      <c r="P43" s="97"/>
      <c r="Q43" s="97"/>
      <c r="R43" s="97"/>
      <c r="S43" s="230">
        <v>182</v>
      </c>
      <c r="T43" s="230">
        <v>209</v>
      </c>
      <c r="U43" s="230">
        <v>195</v>
      </c>
      <c r="V43" s="230">
        <v>206</v>
      </c>
      <c r="W43" s="230">
        <v>203</v>
      </c>
      <c r="X43" s="230">
        <v>195</v>
      </c>
      <c r="Y43" s="230">
        <v>199</v>
      </c>
      <c r="Z43" s="230">
        <v>190</v>
      </c>
      <c r="AA43" s="230">
        <v>200</v>
      </c>
      <c r="AB43" s="230">
        <v>196</v>
      </c>
      <c r="AC43" s="230">
        <v>208</v>
      </c>
      <c r="AD43" s="230">
        <v>280</v>
      </c>
      <c r="AE43" s="230">
        <v>151</v>
      </c>
      <c r="AF43" s="230">
        <v>145</v>
      </c>
      <c r="AG43" s="230">
        <v>129</v>
      </c>
      <c r="AH43" s="230">
        <v>105</v>
      </c>
      <c r="AI43" s="230">
        <v>110</v>
      </c>
      <c r="AJ43" s="230">
        <v>128</v>
      </c>
      <c r="AK43" s="230">
        <v>107</v>
      </c>
      <c r="AL43" s="230">
        <v>128</v>
      </c>
      <c r="AM43" s="230">
        <v>118</v>
      </c>
      <c r="AN43" s="230">
        <v>117</v>
      </c>
      <c r="AO43" s="230">
        <v>125</v>
      </c>
      <c r="AP43" s="230">
        <v>119</v>
      </c>
      <c r="AQ43" s="230">
        <v>132</v>
      </c>
      <c r="AR43" s="230">
        <v>134</v>
      </c>
      <c r="AS43" s="230">
        <v>129</v>
      </c>
      <c r="AT43" s="230">
        <v>123</v>
      </c>
      <c r="AU43" s="230">
        <v>138</v>
      </c>
      <c r="AV43" s="230">
        <v>144</v>
      </c>
      <c r="AW43" s="230">
        <v>139</v>
      </c>
      <c r="AX43" s="230">
        <v>136</v>
      </c>
      <c r="AY43" s="230">
        <v>138</v>
      </c>
      <c r="AZ43" s="230">
        <v>139</v>
      </c>
      <c r="BA43" s="230">
        <v>149</v>
      </c>
      <c r="BB43" s="230">
        <v>164</v>
      </c>
      <c r="BE43" s="304">
        <f t="shared" si="43"/>
        <v>-5</v>
      </c>
      <c r="BF43" s="304">
        <f t="shared" si="42"/>
        <v>10</v>
      </c>
      <c r="BG43" s="304">
        <f t="shared" si="42"/>
        <v>28</v>
      </c>
    </row>
    <row r="44" spans="2:72" ht="14.55" customHeight="1" x14ac:dyDescent="0.3">
      <c r="B44" s="42" t="s">
        <v>116</v>
      </c>
      <c r="C44" s="226">
        <v>117.425</v>
      </c>
      <c r="D44" s="226">
        <v>117.819</v>
      </c>
      <c r="E44" s="226">
        <v>126.312</v>
      </c>
      <c r="F44" s="226">
        <v>129.136</v>
      </c>
      <c r="G44" s="230">
        <v>134.96600000000001</v>
      </c>
      <c r="H44" s="230">
        <v>110.16</v>
      </c>
      <c r="I44" s="230">
        <v>116.428</v>
      </c>
      <c r="J44" s="230">
        <v>113.42399999999999</v>
      </c>
      <c r="K44" s="230">
        <v>117</v>
      </c>
      <c r="L44" s="230">
        <v>115</v>
      </c>
      <c r="M44" s="230">
        <v>66</v>
      </c>
      <c r="N44" s="230">
        <v>116</v>
      </c>
      <c r="O44" s="230">
        <v>124</v>
      </c>
      <c r="P44" s="230">
        <v>115</v>
      </c>
      <c r="Q44" s="230">
        <v>124</v>
      </c>
      <c r="R44" s="230">
        <v>117</v>
      </c>
      <c r="S44" s="230">
        <v>124</v>
      </c>
      <c r="T44" s="230">
        <v>135</v>
      </c>
      <c r="U44" s="230">
        <v>136</v>
      </c>
      <c r="V44" s="230">
        <v>132</v>
      </c>
      <c r="W44" s="230">
        <v>143</v>
      </c>
      <c r="X44" s="230">
        <v>137</v>
      </c>
      <c r="Y44" s="230">
        <v>150</v>
      </c>
      <c r="Z44" s="230">
        <v>146</v>
      </c>
      <c r="AA44" s="230">
        <v>140</v>
      </c>
      <c r="AB44" s="230">
        <v>144</v>
      </c>
      <c r="AC44" s="230">
        <v>148</v>
      </c>
      <c r="AD44" s="230">
        <v>174</v>
      </c>
      <c r="AE44" s="230">
        <v>152</v>
      </c>
      <c r="AF44" s="230">
        <v>166</v>
      </c>
      <c r="AG44" s="230">
        <v>153</v>
      </c>
      <c r="AH44" s="230">
        <v>180</v>
      </c>
      <c r="AI44" s="230">
        <v>158</v>
      </c>
      <c r="AJ44" s="230">
        <v>178</v>
      </c>
      <c r="AK44" s="230">
        <v>171</v>
      </c>
      <c r="AL44" s="230">
        <v>163</v>
      </c>
      <c r="AM44" s="230">
        <v>183</v>
      </c>
      <c r="AN44" s="230">
        <v>178</v>
      </c>
      <c r="AO44" s="230">
        <v>183</v>
      </c>
      <c r="AP44" s="230">
        <v>191</v>
      </c>
      <c r="AQ44" s="230">
        <v>210</v>
      </c>
      <c r="AR44" s="230">
        <v>194</v>
      </c>
      <c r="AS44" s="230">
        <v>193</v>
      </c>
      <c r="AT44" s="230">
        <v>216</v>
      </c>
      <c r="AU44" s="230">
        <v>200</v>
      </c>
      <c r="AV44" s="230">
        <v>202</v>
      </c>
      <c r="AW44" s="230">
        <v>277</v>
      </c>
      <c r="AX44" s="230">
        <v>201</v>
      </c>
      <c r="AY44" s="230">
        <v>202</v>
      </c>
      <c r="AZ44" s="230">
        <v>208</v>
      </c>
      <c r="BA44" s="230">
        <v>204</v>
      </c>
      <c r="BB44" s="230">
        <v>225</v>
      </c>
      <c r="BE44" s="304">
        <f t="shared" si="43"/>
        <v>6</v>
      </c>
      <c r="BF44" s="304">
        <f t="shared" si="42"/>
        <v>-73</v>
      </c>
      <c r="BG44" s="304">
        <f t="shared" si="42"/>
        <v>24</v>
      </c>
    </row>
    <row r="45" spans="2:72" ht="14.55" customHeight="1" x14ac:dyDescent="0.3">
      <c r="B45" s="42" t="s">
        <v>117</v>
      </c>
      <c r="C45" s="224">
        <v>130.23499999999999</v>
      </c>
      <c r="D45" s="224">
        <v>148.941</v>
      </c>
      <c r="E45" s="224">
        <v>175.06399999999999</v>
      </c>
      <c r="F45" s="224">
        <v>172.95</v>
      </c>
      <c r="G45" s="230">
        <v>158.23600000000002</v>
      </c>
      <c r="H45" s="230">
        <v>137.69999999999999</v>
      </c>
      <c r="I45" s="230">
        <v>134.34</v>
      </c>
      <c r="J45" s="230">
        <v>142.33600000000001</v>
      </c>
      <c r="K45" s="230">
        <v>139</v>
      </c>
      <c r="L45" s="230">
        <v>120</v>
      </c>
      <c r="M45" s="230">
        <v>146</v>
      </c>
      <c r="N45" s="230">
        <v>171</v>
      </c>
      <c r="O45" s="230">
        <v>122</v>
      </c>
      <c r="P45" s="230">
        <v>115</v>
      </c>
      <c r="Q45" s="230">
        <v>141</v>
      </c>
      <c r="R45" s="230">
        <v>156</v>
      </c>
      <c r="S45" s="230">
        <v>83</v>
      </c>
      <c r="T45" s="230">
        <v>113</v>
      </c>
      <c r="U45" s="230">
        <v>86</v>
      </c>
      <c r="V45" s="230">
        <v>104</v>
      </c>
      <c r="W45" s="230">
        <v>97</v>
      </c>
      <c r="X45" s="230">
        <v>67</v>
      </c>
      <c r="Y45" s="230">
        <v>64</v>
      </c>
      <c r="Z45" s="230">
        <v>107</v>
      </c>
      <c r="AA45" s="230">
        <v>81</v>
      </c>
      <c r="AB45" s="230">
        <v>96</v>
      </c>
      <c r="AC45" s="230">
        <v>90</v>
      </c>
      <c r="AD45" s="230">
        <v>213</v>
      </c>
      <c r="AE45" s="230">
        <v>104</v>
      </c>
      <c r="AF45" s="230">
        <v>49</v>
      </c>
      <c r="AG45" s="230">
        <v>90</v>
      </c>
      <c r="AH45" s="230">
        <v>114</v>
      </c>
      <c r="AI45" s="230">
        <v>107</v>
      </c>
      <c r="AJ45" s="230">
        <v>95</v>
      </c>
      <c r="AK45" s="230">
        <v>111</v>
      </c>
      <c r="AL45" s="230">
        <v>140</v>
      </c>
      <c r="AM45" s="230">
        <v>99</v>
      </c>
      <c r="AN45" s="230">
        <v>86</v>
      </c>
      <c r="AO45" s="230">
        <v>102</v>
      </c>
      <c r="AP45" s="230">
        <v>114</v>
      </c>
      <c r="AQ45" s="230">
        <v>87</v>
      </c>
      <c r="AR45" s="230">
        <v>96</v>
      </c>
      <c r="AS45" s="230">
        <v>102</v>
      </c>
      <c r="AT45" s="230">
        <v>109</v>
      </c>
      <c r="AU45" s="230">
        <v>106</v>
      </c>
      <c r="AV45" s="230">
        <v>94</v>
      </c>
      <c r="AW45" s="230">
        <v>102</v>
      </c>
      <c r="AX45" s="230">
        <v>126</v>
      </c>
      <c r="AY45" s="230">
        <v>102</v>
      </c>
      <c r="AZ45" s="230">
        <v>109</v>
      </c>
      <c r="BA45" s="230">
        <v>128</v>
      </c>
      <c r="BB45" s="230">
        <v>123</v>
      </c>
      <c r="BE45" s="304">
        <f t="shared" si="43"/>
        <v>15</v>
      </c>
      <c r="BF45" s="304">
        <f t="shared" si="42"/>
        <v>26</v>
      </c>
      <c r="BG45" s="304">
        <f t="shared" si="42"/>
        <v>-3</v>
      </c>
    </row>
    <row r="46" spans="2:72" ht="14.55" customHeight="1" x14ac:dyDescent="0.3">
      <c r="B46" s="42" t="s">
        <v>115</v>
      </c>
      <c r="C46" s="226">
        <v>74.725000000000009</v>
      </c>
      <c r="D46" s="226">
        <v>106.70400000000001</v>
      </c>
      <c r="E46" s="226">
        <v>95.287999999999997</v>
      </c>
      <c r="F46" s="226">
        <v>117.60599999999999</v>
      </c>
      <c r="G46" s="230">
        <v>90.753</v>
      </c>
      <c r="H46" s="230">
        <v>78.03</v>
      </c>
      <c r="I46" s="230">
        <v>87.320999999999998</v>
      </c>
      <c r="J46" s="230">
        <v>106.752</v>
      </c>
      <c r="K46" s="230">
        <v>71</v>
      </c>
      <c r="L46" s="230">
        <v>100</v>
      </c>
      <c r="M46" s="230">
        <v>107</v>
      </c>
      <c r="N46" s="230">
        <v>122</v>
      </c>
      <c r="O46" s="230">
        <v>103</v>
      </c>
      <c r="P46" s="230">
        <v>110</v>
      </c>
      <c r="Q46" s="230">
        <v>94</v>
      </c>
      <c r="R46" s="230">
        <v>98</v>
      </c>
      <c r="S46" s="230">
        <v>35</v>
      </c>
      <c r="T46" s="230">
        <v>63</v>
      </c>
      <c r="U46" s="230">
        <v>53</v>
      </c>
      <c r="V46" s="230">
        <v>45</v>
      </c>
      <c r="W46" s="230">
        <v>39</v>
      </c>
      <c r="X46" s="230">
        <v>43</v>
      </c>
      <c r="Y46" s="230">
        <v>43</v>
      </c>
      <c r="Z46" s="230">
        <v>35</v>
      </c>
      <c r="AA46" s="230">
        <v>39</v>
      </c>
      <c r="AB46" s="230">
        <v>51</v>
      </c>
      <c r="AC46" s="230">
        <v>59</v>
      </c>
      <c r="AD46" s="230">
        <v>62</v>
      </c>
      <c r="AE46" s="230">
        <v>42</v>
      </c>
      <c r="AF46" s="230">
        <v>43</v>
      </c>
      <c r="AG46" s="230">
        <v>42</v>
      </c>
      <c r="AH46" s="230">
        <v>46</v>
      </c>
      <c r="AI46" s="230">
        <v>40</v>
      </c>
      <c r="AJ46" s="230">
        <v>30</v>
      </c>
      <c r="AK46" s="230">
        <v>46</v>
      </c>
      <c r="AL46" s="230">
        <v>26</v>
      </c>
      <c r="AM46" s="230">
        <v>41</v>
      </c>
      <c r="AN46" s="230">
        <v>42</v>
      </c>
      <c r="AO46" s="230">
        <v>49</v>
      </c>
      <c r="AP46" s="230">
        <v>48</v>
      </c>
      <c r="AQ46" s="230">
        <v>39</v>
      </c>
      <c r="AR46" s="230">
        <v>50</v>
      </c>
      <c r="AS46" s="230">
        <v>48</v>
      </c>
      <c r="AT46" s="230">
        <v>52</v>
      </c>
      <c r="AU46" s="230">
        <v>38</v>
      </c>
      <c r="AV46" s="230">
        <v>43</v>
      </c>
      <c r="AW46" s="230">
        <v>44</v>
      </c>
      <c r="AX46" s="230">
        <v>38</v>
      </c>
      <c r="AY46" s="230">
        <v>39</v>
      </c>
      <c r="AZ46" s="230">
        <v>47</v>
      </c>
      <c r="BA46" s="230">
        <v>43</v>
      </c>
      <c r="BB46" s="230">
        <v>48</v>
      </c>
      <c r="BE46" s="304">
        <f t="shared" si="43"/>
        <v>4</v>
      </c>
      <c r="BF46" s="304">
        <f t="shared" si="42"/>
        <v>-1</v>
      </c>
      <c r="BG46" s="304">
        <f t="shared" si="42"/>
        <v>10</v>
      </c>
    </row>
    <row r="47" spans="2:72" ht="14.55" customHeight="1" x14ac:dyDescent="0.3">
      <c r="B47" s="42" t="s">
        <v>397</v>
      </c>
      <c r="C47" s="226"/>
      <c r="D47" s="226"/>
      <c r="E47" s="226"/>
      <c r="F47" s="226"/>
      <c r="G47" s="230"/>
      <c r="H47" s="230"/>
      <c r="I47" s="230"/>
      <c r="J47" s="230"/>
      <c r="K47" s="230"/>
      <c r="L47" s="230"/>
      <c r="M47" s="230"/>
      <c r="N47" s="230"/>
      <c r="O47" s="230"/>
      <c r="P47" s="230"/>
      <c r="Q47" s="230"/>
      <c r="R47" s="230"/>
      <c r="S47" s="230"/>
      <c r="T47" s="230"/>
      <c r="U47" s="230"/>
      <c r="V47" s="230"/>
      <c r="W47" s="230"/>
      <c r="X47" s="230"/>
      <c r="Y47" s="230"/>
      <c r="Z47" s="230"/>
      <c r="AA47" s="230"/>
      <c r="AB47" s="230"/>
      <c r="AC47" s="230"/>
      <c r="AD47" s="230"/>
      <c r="AE47" s="230"/>
      <c r="AF47" s="230"/>
      <c r="AG47" s="230"/>
      <c r="AH47" s="230"/>
      <c r="AI47" s="230"/>
      <c r="AJ47" s="230"/>
      <c r="AK47" s="230"/>
      <c r="AL47" s="230"/>
      <c r="AM47" s="230"/>
      <c r="AN47" s="230"/>
      <c r="AO47" s="230"/>
      <c r="AP47" s="230"/>
      <c r="AQ47" s="230">
        <v>34</v>
      </c>
      <c r="AR47" s="230">
        <v>26</v>
      </c>
      <c r="AS47" s="230">
        <v>25</v>
      </c>
      <c r="AT47" s="230">
        <v>22</v>
      </c>
      <c r="AU47" s="230">
        <v>34</v>
      </c>
      <c r="AV47" s="230">
        <v>37</v>
      </c>
      <c r="AW47" s="230">
        <v>32</v>
      </c>
      <c r="AX47" s="230">
        <v>26</v>
      </c>
      <c r="AY47" s="230">
        <v>40</v>
      </c>
      <c r="AZ47" s="230">
        <v>38</v>
      </c>
      <c r="BA47" s="230">
        <v>27</v>
      </c>
      <c r="BB47" s="230">
        <v>29</v>
      </c>
      <c r="BE47" s="304">
        <f t="shared" si="43"/>
        <v>1</v>
      </c>
      <c r="BF47" s="304">
        <f t="shared" si="42"/>
        <v>-5</v>
      </c>
      <c r="BG47" s="304">
        <f t="shared" si="42"/>
        <v>3</v>
      </c>
    </row>
    <row r="48" spans="2:72" ht="14.55" customHeight="1" x14ac:dyDescent="0.3">
      <c r="B48" s="42" t="s">
        <v>398</v>
      </c>
      <c r="C48" s="226"/>
      <c r="D48" s="226"/>
      <c r="E48" s="226"/>
      <c r="F48" s="226"/>
      <c r="G48" s="230"/>
      <c r="H48" s="230"/>
      <c r="I48" s="230"/>
      <c r="J48" s="230"/>
      <c r="K48" s="230"/>
      <c r="L48" s="230"/>
      <c r="M48" s="230"/>
      <c r="N48" s="230"/>
      <c r="O48" s="230"/>
      <c r="P48" s="230"/>
      <c r="Q48" s="230"/>
      <c r="R48" s="230"/>
      <c r="S48" s="230"/>
      <c r="T48" s="230"/>
      <c r="U48" s="230"/>
      <c r="V48" s="230"/>
      <c r="W48" s="230"/>
      <c r="X48" s="230"/>
      <c r="Y48" s="230"/>
      <c r="Z48" s="230"/>
      <c r="AA48" s="230"/>
      <c r="AB48" s="230"/>
      <c r="AC48" s="230"/>
      <c r="AD48" s="230"/>
      <c r="AE48" s="230"/>
      <c r="AF48" s="230"/>
      <c r="AG48" s="230"/>
      <c r="AH48" s="230"/>
      <c r="AI48" s="230"/>
      <c r="AJ48" s="230"/>
      <c r="AK48" s="230"/>
      <c r="AL48" s="230"/>
      <c r="AM48" s="230"/>
      <c r="AN48" s="230"/>
      <c r="AO48" s="230"/>
      <c r="AP48" s="230"/>
      <c r="AQ48" s="230">
        <v>-61</v>
      </c>
      <c r="AR48" s="230">
        <v>-74</v>
      </c>
      <c r="AS48" s="230">
        <v>-52</v>
      </c>
      <c r="AT48" s="230">
        <v>-64</v>
      </c>
      <c r="AU48" s="230">
        <v>-46</v>
      </c>
      <c r="AV48" s="230">
        <v>-52</v>
      </c>
      <c r="AW48" s="230">
        <v>-38</v>
      </c>
      <c r="AX48" s="230">
        <v>-79</v>
      </c>
      <c r="AY48" s="230">
        <v>-61</v>
      </c>
      <c r="AZ48" s="230">
        <v>-59</v>
      </c>
      <c r="BA48" s="230">
        <v>-56</v>
      </c>
      <c r="BB48" s="230">
        <v>-45</v>
      </c>
      <c r="BE48" s="304">
        <f t="shared" si="43"/>
        <v>-7</v>
      </c>
      <c r="BF48" s="304">
        <f t="shared" si="42"/>
        <v>-18</v>
      </c>
      <c r="BG48" s="304">
        <f t="shared" si="42"/>
        <v>34</v>
      </c>
    </row>
    <row r="49" spans="2:72" ht="14.55" customHeight="1" x14ac:dyDescent="0.3">
      <c r="B49" s="42" t="s">
        <v>399</v>
      </c>
      <c r="C49" s="226"/>
      <c r="D49" s="226"/>
      <c r="E49" s="226"/>
      <c r="F49" s="226"/>
      <c r="G49" s="230"/>
      <c r="H49" s="230"/>
      <c r="I49" s="230"/>
      <c r="J49" s="230"/>
      <c r="K49" s="230"/>
      <c r="L49" s="230"/>
      <c r="M49" s="230"/>
      <c r="N49" s="230"/>
      <c r="O49" s="230"/>
      <c r="P49" s="230"/>
      <c r="Q49" s="230"/>
      <c r="R49" s="230"/>
      <c r="S49" s="230"/>
      <c r="T49" s="230"/>
      <c r="U49" s="230"/>
      <c r="V49" s="230"/>
      <c r="W49" s="230"/>
      <c r="X49" s="230"/>
      <c r="Y49" s="230"/>
      <c r="Z49" s="230"/>
      <c r="AA49" s="230"/>
      <c r="AB49" s="230"/>
      <c r="AC49" s="230"/>
      <c r="AD49" s="230"/>
      <c r="AE49" s="230"/>
      <c r="AF49" s="230"/>
      <c r="AG49" s="230"/>
      <c r="AH49" s="230"/>
      <c r="AI49" s="230"/>
      <c r="AJ49" s="230"/>
      <c r="AK49" s="230"/>
      <c r="AL49" s="230"/>
      <c r="AM49" s="230"/>
      <c r="AN49" s="230"/>
      <c r="AO49" s="230"/>
      <c r="AP49" s="230"/>
      <c r="AQ49" s="97">
        <f>AQ54-SUM(AQ41:AQ48)</f>
        <v>0</v>
      </c>
      <c r="AR49" s="97">
        <f t="shared" ref="AR49:AX49" si="44">AR54-SUM(AR41:AR48)</f>
        <v>0</v>
      </c>
      <c r="AS49" s="97">
        <f t="shared" si="44"/>
        <v>0</v>
      </c>
      <c r="AT49" s="97">
        <f t="shared" si="44"/>
        <v>0</v>
      </c>
      <c r="AU49" s="97">
        <f t="shared" si="44"/>
        <v>0</v>
      </c>
      <c r="AV49" s="97">
        <f t="shared" si="44"/>
        <v>0</v>
      </c>
      <c r="AW49" s="97">
        <f t="shared" si="44"/>
        <v>0</v>
      </c>
      <c r="AX49" s="97">
        <f t="shared" si="44"/>
        <v>0</v>
      </c>
      <c r="AY49" s="97">
        <f t="shared" ref="AY49:AZ49" si="45">AY54-SUM(AY41:AY48)</f>
        <v>0</v>
      </c>
      <c r="AZ49" s="97">
        <f t="shared" si="45"/>
        <v>0</v>
      </c>
      <c r="BA49" s="97">
        <f t="shared" ref="BA49:BB49" si="46">BA54-SUM(BA41:BA48)</f>
        <v>0</v>
      </c>
      <c r="BB49" s="97">
        <f t="shared" si="46"/>
        <v>0</v>
      </c>
    </row>
    <row r="50" spans="2:72" ht="14.55" hidden="1" customHeight="1" outlineLevel="1" x14ac:dyDescent="0.3">
      <c r="B50" s="295" t="s">
        <v>134</v>
      </c>
      <c r="C50" s="226">
        <v>702.41500000000008</v>
      </c>
      <c r="D50" s="226">
        <v>718.029</v>
      </c>
      <c r="E50" s="226">
        <v>742.36</v>
      </c>
      <c r="F50" s="226">
        <v>811.71199999999999</v>
      </c>
      <c r="G50" s="230">
        <v>800.48799999999994</v>
      </c>
      <c r="H50" s="230">
        <v>787.18500000000006</v>
      </c>
      <c r="I50" s="230">
        <v>738.87</v>
      </c>
      <c r="J50" s="230">
        <v>758.38400000000001</v>
      </c>
      <c r="K50" s="230">
        <v>707.74600000000009</v>
      </c>
      <c r="L50" s="230">
        <v>651.66600000000005</v>
      </c>
      <c r="M50" s="230">
        <v>652.54</v>
      </c>
      <c r="N50" s="230">
        <v>696.34400000000005</v>
      </c>
      <c r="O50" s="230">
        <v>713.46800000000007</v>
      </c>
      <c r="P50" s="230">
        <v>649.88</v>
      </c>
      <c r="Q50" s="230">
        <v>689</v>
      </c>
      <c r="R50" s="230">
        <v>676</v>
      </c>
      <c r="S50" s="97"/>
      <c r="T50" s="97"/>
      <c r="U50" s="97"/>
      <c r="V50" s="97"/>
      <c r="W50" s="97"/>
      <c r="X50" s="97"/>
      <c r="Y50" s="97"/>
      <c r="Z50" s="97"/>
      <c r="AA50" s="97"/>
      <c r="AB50" s="97"/>
      <c r="AC50" s="97"/>
      <c r="AD50" s="97"/>
      <c r="AE50" s="97"/>
      <c r="AF50" s="97"/>
      <c r="AG50" s="97"/>
      <c r="AH50" s="97"/>
      <c r="AI50" s="97"/>
      <c r="AJ50" s="97"/>
      <c r="AK50" s="97"/>
      <c r="AL50" s="97"/>
      <c r="AM50" s="230">
        <v>328</v>
      </c>
      <c r="AN50" s="230">
        <v>376</v>
      </c>
      <c r="AO50" s="230">
        <v>290</v>
      </c>
      <c r="AP50" s="230">
        <v>568</v>
      </c>
      <c r="AQ50" s="312">
        <v>492</v>
      </c>
      <c r="AR50" s="312">
        <v>412</v>
      </c>
      <c r="AS50" s="312">
        <v>381</v>
      </c>
      <c r="AT50" s="312">
        <v>550</v>
      </c>
      <c r="AU50" s="312">
        <v>541</v>
      </c>
      <c r="AV50" s="312">
        <v>456</v>
      </c>
      <c r="AW50" s="313">
        <f>895-AW53</f>
        <v>413</v>
      </c>
      <c r="AX50" s="313"/>
      <c r="AY50" s="313"/>
      <c r="AZ50" s="313"/>
      <c r="BA50" s="313"/>
      <c r="BB50" s="313"/>
    </row>
    <row r="51" spans="2:72" ht="14.55" hidden="1" customHeight="1" outlineLevel="1" x14ac:dyDescent="0.3">
      <c r="B51" s="295" t="s">
        <v>118</v>
      </c>
      <c r="C51" s="74"/>
      <c r="D51" s="74"/>
      <c r="E51" s="74"/>
      <c r="F51" s="74"/>
      <c r="G51" s="97"/>
      <c r="H51" s="97"/>
      <c r="I51" s="97"/>
      <c r="J51" s="97"/>
      <c r="K51" s="97"/>
      <c r="L51" s="97"/>
      <c r="M51" s="97"/>
      <c r="N51" s="97"/>
      <c r="O51" s="97"/>
      <c r="P51" s="97"/>
      <c r="Q51" s="97"/>
      <c r="R51" s="97"/>
      <c r="S51" s="230">
        <v>34</v>
      </c>
      <c r="T51" s="230">
        <v>36</v>
      </c>
      <c r="U51" s="230">
        <v>40</v>
      </c>
      <c r="V51" s="230">
        <v>37</v>
      </c>
      <c r="W51" s="230">
        <v>41</v>
      </c>
      <c r="X51" s="230">
        <v>42</v>
      </c>
      <c r="Y51" s="230">
        <v>58</v>
      </c>
      <c r="Z51" s="230">
        <v>57</v>
      </c>
      <c r="AA51" s="230">
        <v>42</v>
      </c>
      <c r="AB51" s="230">
        <v>62</v>
      </c>
      <c r="AC51" s="230">
        <v>47</v>
      </c>
      <c r="AD51" s="230">
        <v>64</v>
      </c>
      <c r="AE51" s="230">
        <v>46</v>
      </c>
      <c r="AF51" s="230">
        <v>48</v>
      </c>
      <c r="AG51" s="230">
        <v>48</v>
      </c>
      <c r="AH51" s="230">
        <v>53</v>
      </c>
      <c r="AI51" s="230">
        <v>52</v>
      </c>
      <c r="AJ51" s="230">
        <v>49</v>
      </c>
      <c r="AK51" s="230">
        <v>51</v>
      </c>
      <c r="AL51" s="230">
        <v>55</v>
      </c>
      <c r="AM51" s="230">
        <v>55</v>
      </c>
      <c r="AN51" s="230">
        <v>47</v>
      </c>
      <c r="AO51" s="230">
        <v>53</v>
      </c>
      <c r="AP51" s="230">
        <v>56</v>
      </c>
      <c r="AQ51" s="312"/>
      <c r="AR51" s="312"/>
      <c r="AS51" s="312"/>
      <c r="AT51" s="312"/>
      <c r="AU51" s="312"/>
      <c r="AV51" s="312"/>
      <c r="AW51" s="312"/>
      <c r="AX51" s="312"/>
      <c r="AY51" s="312"/>
      <c r="AZ51" s="312"/>
      <c r="BA51" s="312"/>
      <c r="BB51" s="312"/>
    </row>
    <row r="52" spans="2:72" ht="14.55" hidden="1" customHeight="1" outlineLevel="1" x14ac:dyDescent="0.3">
      <c r="B52" s="295" t="s">
        <v>64</v>
      </c>
      <c r="C52" s="224">
        <v>-22.4175</v>
      </c>
      <c r="D52" s="224">
        <v>25.564499999999999</v>
      </c>
      <c r="E52" s="224">
        <v>22.16</v>
      </c>
      <c r="F52" s="224">
        <v>9.2240000000000002</v>
      </c>
      <c r="G52" s="230">
        <v>20.942999999999998</v>
      </c>
      <c r="H52" s="230">
        <v>16.065000000000001</v>
      </c>
      <c r="I52" s="230">
        <v>8.9559999999999995</v>
      </c>
      <c r="J52" s="230">
        <v>22.240000000000002</v>
      </c>
      <c r="K52" s="230">
        <v>11.3</v>
      </c>
      <c r="L52" s="230">
        <v>9.3000000000000007</v>
      </c>
      <c r="M52" s="230">
        <v>14.5</v>
      </c>
      <c r="N52" s="230">
        <v>17.7</v>
      </c>
      <c r="O52" s="230">
        <v>2.5</v>
      </c>
      <c r="P52" s="230">
        <v>10.1</v>
      </c>
      <c r="Q52" s="230">
        <v>7</v>
      </c>
      <c r="R52" s="230">
        <v>8</v>
      </c>
      <c r="S52" s="230">
        <v>-2</v>
      </c>
      <c r="T52" s="230">
        <v>2</v>
      </c>
      <c r="U52" s="230">
        <v>-35</v>
      </c>
      <c r="V52" s="230">
        <v>-25</v>
      </c>
      <c r="W52" s="230">
        <v>-10</v>
      </c>
      <c r="X52" s="230">
        <v>-17</v>
      </c>
      <c r="Y52" s="230">
        <v>-19</v>
      </c>
      <c r="Z52" s="230">
        <v>-22</v>
      </c>
      <c r="AA52" s="230">
        <v>-5</v>
      </c>
      <c r="AB52" s="97">
        <f t="shared" ref="AB52:AP52" si="47">AB54-SUM(AB43:AB51)</f>
        <v>690</v>
      </c>
      <c r="AC52" s="97">
        <f t="shared" si="47"/>
        <v>665</v>
      </c>
      <c r="AD52" s="97">
        <f t="shared" si="47"/>
        <v>883</v>
      </c>
      <c r="AE52" s="97">
        <f t="shared" si="47"/>
        <v>746</v>
      </c>
      <c r="AF52" s="97">
        <f t="shared" si="47"/>
        <v>770</v>
      </c>
      <c r="AG52" s="97">
        <f t="shared" si="47"/>
        <v>818</v>
      </c>
      <c r="AH52" s="97">
        <f t="shared" si="47"/>
        <v>1147</v>
      </c>
      <c r="AI52" s="97">
        <f t="shared" si="47"/>
        <v>912</v>
      </c>
      <c r="AJ52" s="97">
        <f t="shared" si="47"/>
        <v>725</v>
      </c>
      <c r="AK52" s="97">
        <f t="shared" si="47"/>
        <v>760</v>
      </c>
      <c r="AL52" s="97">
        <f t="shared" si="47"/>
        <v>810</v>
      </c>
      <c r="AM52" s="97">
        <f t="shared" si="47"/>
        <v>455</v>
      </c>
      <c r="AN52" s="97">
        <f t="shared" si="47"/>
        <v>422</v>
      </c>
      <c r="AO52" s="97">
        <f t="shared" si="47"/>
        <v>492</v>
      </c>
      <c r="AP52" s="97">
        <f t="shared" si="47"/>
        <v>428</v>
      </c>
      <c r="AQ52" s="314"/>
      <c r="AR52" s="312">
        <f t="shared" ref="AR52:AX52" si="48">AR54-SUM(AR43:AR51)</f>
        <v>574</v>
      </c>
      <c r="AS52" s="312">
        <f t="shared" si="48"/>
        <v>575</v>
      </c>
      <c r="AT52" s="312">
        <f t="shared" si="48"/>
        <v>560</v>
      </c>
      <c r="AU52" s="312">
        <f t="shared" si="48"/>
        <v>543</v>
      </c>
      <c r="AV52" s="312">
        <f t="shared" si="48"/>
        <v>544</v>
      </c>
      <c r="AW52" s="312">
        <f t="shared" si="48"/>
        <v>544</v>
      </c>
      <c r="AX52" s="312">
        <f t="shared" si="48"/>
        <v>1237</v>
      </c>
      <c r="AY52" s="312">
        <f t="shared" ref="AY52" si="49">AY54-SUM(AY43:AY51)</f>
        <v>1099</v>
      </c>
      <c r="AZ52" s="312"/>
      <c r="BA52" s="312"/>
      <c r="BB52" s="312"/>
    </row>
    <row r="53" spans="2:72" ht="14.55" hidden="1" customHeight="1" outlineLevel="1" x14ac:dyDescent="0.3">
      <c r="B53" s="295" t="s">
        <v>400</v>
      </c>
      <c r="C53" s="74"/>
      <c r="D53" s="74"/>
      <c r="E53" s="74"/>
      <c r="F53" s="74"/>
      <c r="G53" s="97"/>
      <c r="H53" s="97"/>
      <c r="I53" s="97"/>
      <c r="J53" s="97"/>
      <c r="K53" s="97"/>
      <c r="L53" s="97"/>
      <c r="M53" s="97"/>
      <c r="N53" s="97"/>
      <c r="O53" s="97"/>
      <c r="P53" s="97"/>
      <c r="Q53" s="97"/>
      <c r="R53" s="97"/>
      <c r="S53" s="230">
        <v>523</v>
      </c>
      <c r="T53" s="230">
        <v>534</v>
      </c>
      <c r="U53" s="230">
        <v>537</v>
      </c>
      <c r="V53" s="230">
        <v>528</v>
      </c>
      <c r="W53" s="230">
        <v>838</v>
      </c>
      <c r="X53" s="230">
        <v>743</v>
      </c>
      <c r="Y53" s="230">
        <v>729</v>
      </c>
      <c r="Z53" s="230">
        <v>804</v>
      </c>
      <c r="AA53" s="230">
        <v>720</v>
      </c>
      <c r="AB53" s="230">
        <v>723</v>
      </c>
      <c r="AC53" s="230">
        <v>684</v>
      </c>
      <c r="AD53" s="230">
        <v>883</v>
      </c>
      <c r="AE53" s="230">
        <v>736</v>
      </c>
      <c r="AF53" s="230">
        <v>766</v>
      </c>
      <c r="AG53" s="230">
        <v>835</v>
      </c>
      <c r="AH53" s="230">
        <v>1146</v>
      </c>
      <c r="AI53" s="230">
        <v>856</v>
      </c>
      <c r="AJ53" s="97">
        <f>423+227</f>
        <v>650</v>
      </c>
      <c r="AK53" s="97">
        <f>462+305</f>
        <v>767</v>
      </c>
      <c r="AL53" s="97">
        <f>487+387</f>
        <v>874</v>
      </c>
      <c r="AM53" s="230">
        <f>464</f>
        <v>464</v>
      </c>
      <c r="AN53" s="230">
        <f>453</f>
        <v>453</v>
      </c>
      <c r="AO53" s="230">
        <v>516</v>
      </c>
      <c r="AP53" s="230">
        <v>477</v>
      </c>
      <c r="AQ53" s="312">
        <v>480</v>
      </c>
      <c r="AR53" s="312">
        <v>507</v>
      </c>
      <c r="AS53" s="312">
        <v>512</v>
      </c>
      <c r="AT53" s="312">
        <v>497</v>
      </c>
      <c r="AU53" s="312">
        <v>482</v>
      </c>
      <c r="AV53" s="312">
        <v>482</v>
      </c>
      <c r="AW53" s="313">
        <f>AV53</f>
        <v>482</v>
      </c>
      <c r="AX53" s="312"/>
      <c r="AY53" s="312"/>
      <c r="AZ53" s="312"/>
      <c r="BA53" s="312"/>
      <c r="BB53" s="312"/>
    </row>
    <row r="54" spans="2:72" s="81" customFormat="1" ht="14.55" customHeight="1" collapsed="1" x14ac:dyDescent="0.3">
      <c r="B54" s="39" t="s">
        <v>41</v>
      </c>
      <c r="C54" s="80">
        <f t="shared" ref="C54:Z54" si="50">SUM(C43:C53)</f>
        <v>1002.3825000000002</v>
      </c>
      <c r="D54" s="80">
        <f t="shared" si="50"/>
        <v>1117.0574999999999</v>
      </c>
      <c r="E54" s="80">
        <f t="shared" si="50"/>
        <v>1161.184</v>
      </c>
      <c r="F54" s="80">
        <f t="shared" si="50"/>
        <v>1240.6279999999999</v>
      </c>
      <c r="G54" s="80">
        <f t="shared" si="50"/>
        <v>1205.386</v>
      </c>
      <c r="H54" s="80">
        <f t="shared" si="50"/>
        <v>1129.1400000000001</v>
      </c>
      <c r="I54" s="80">
        <f t="shared" si="50"/>
        <v>1085.915</v>
      </c>
      <c r="J54" s="80">
        <f t="shared" si="50"/>
        <v>1143.136</v>
      </c>
      <c r="K54" s="80">
        <f t="shared" si="50"/>
        <v>1046.046</v>
      </c>
      <c r="L54" s="80">
        <f t="shared" si="50"/>
        <v>995.96600000000001</v>
      </c>
      <c r="M54" s="80">
        <f t="shared" si="50"/>
        <v>986.04</v>
      </c>
      <c r="N54" s="80">
        <f t="shared" si="50"/>
        <v>1123.0440000000001</v>
      </c>
      <c r="O54" s="80">
        <f t="shared" si="50"/>
        <v>1064.9680000000001</v>
      </c>
      <c r="P54" s="80">
        <f t="shared" si="50"/>
        <v>999.98</v>
      </c>
      <c r="Q54" s="80">
        <f t="shared" si="50"/>
        <v>1055</v>
      </c>
      <c r="R54" s="80">
        <f t="shared" si="50"/>
        <v>1055</v>
      </c>
      <c r="S54" s="80">
        <f t="shared" si="50"/>
        <v>979</v>
      </c>
      <c r="T54" s="80">
        <f t="shared" si="50"/>
        <v>1092</v>
      </c>
      <c r="U54" s="80">
        <f t="shared" si="50"/>
        <v>1012</v>
      </c>
      <c r="V54" s="80">
        <f t="shared" si="50"/>
        <v>1027</v>
      </c>
      <c r="W54" s="80">
        <f t="shared" si="50"/>
        <v>1351</v>
      </c>
      <c r="X54" s="80">
        <f t="shared" si="50"/>
        <v>1210</v>
      </c>
      <c r="Y54" s="80">
        <f t="shared" si="50"/>
        <v>1224</v>
      </c>
      <c r="Z54" s="80">
        <f t="shared" si="50"/>
        <v>1317</v>
      </c>
      <c r="AA54" s="227">
        <v>1217</v>
      </c>
      <c r="AB54" s="80">
        <f t="shared" ref="AB54:AX54" si="51">AB32-AB55</f>
        <v>1239</v>
      </c>
      <c r="AC54" s="80">
        <f t="shared" si="51"/>
        <v>1217</v>
      </c>
      <c r="AD54" s="80">
        <f t="shared" si="51"/>
        <v>1676</v>
      </c>
      <c r="AE54" s="80">
        <f t="shared" si="51"/>
        <v>1241</v>
      </c>
      <c r="AF54" s="80">
        <f t="shared" si="51"/>
        <v>1221</v>
      </c>
      <c r="AG54" s="80">
        <f t="shared" si="51"/>
        <v>1280</v>
      </c>
      <c r="AH54" s="80">
        <f t="shared" si="51"/>
        <v>1645</v>
      </c>
      <c r="AI54" s="80">
        <f t="shared" si="51"/>
        <v>1379</v>
      </c>
      <c r="AJ54" s="80">
        <f t="shared" si="51"/>
        <v>1205</v>
      </c>
      <c r="AK54" s="80">
        <f t="shared" si="51"/>
        <v>1246</v>
      </c>
      <c r="AL54" s="80">
        <f t="shared" si="51"/>
        <v>1322</v>
      </c>
      <c r="AM54" s="80">
        <f t="shared" si="51"/>
        <v>1279</v>
      </c>
      <c r="AN54" s="80">
        <f t="shared" si="51"/>
        <v>1268</v>
      </c>
      <c r="AO54" s="80">
        <f t="shared" si="51"/>
        <v>1294</v>
      </c>
      <c r="AP54" s="80">
        <f t="shared" si="51"/>
        <v>1524</v>
      </c>
      <c r="AQ54" s="80">
        <f t="shared" si="51"/>
        <v>1479</v>
      </c>
      <c r="AR54" s="80">
        <f t="shared" si="51"/>
        <v>1412</v>
      </c>
      <c r="AS54" s="80">
        <f t="shared" si="51"/>
        <v>1401</v>
      </c>
      <c r="AT54" s="80">
        <f t="shared" si="51"/>
        <v>1568</v>
      </c>
      <c r="AU54" s="80">
        <f t="shared" si="51"/>
        <v>1554</v>
      </c>
      <c r="AV54" s="80">
        <f t="shared" si="51"/>
        <v>1468</v>
      </c>
      <c r="AW54" s="80">
        <f t="shared" si="51"/>
        <v>1513</v>
      </c>
      <c r="AX54" s="80">
        <f t="shared" si="51"/>
        <v>1685</v>
      </c>
      <c r="AY54" s="80">
        <f t="shared" ref="AY54:AZ54" si="52">AY32-AY55</f>
        <v>1559</v>
      </c>
      <c r="AZ54" s="80">
        <f t="shared" si="52"/>
        <v>1540</v>
      </c>
      <c r="BA54" s="80">
        <f t="shared" ref="BA54:BB54" si="53">BA32-BA55</f>
        <v>1528</v>
      </c>
      <c r="BB54" s="80">
        <f t="shared" si="53"/>
        <v>1787</v>
      </c>
      <c r="BD54" s="82"/>
      <c r="BE54" s="304">
        <f t="shared" ref="BE54" si="54">AZ54-AV54</f>
        <v>72</v>
      </c>
      <c r="BF54" s="304">
        <f t="shared" ref="BF54" si="55">BA54-AW54</f>
        <v>15</v>
      </c>
      <c r="BG54" s="304">
        <f t="shared" ref="BG54" si="56">BB54-AX54</f>
        <v>102</v>
      </c>
      <c r="BH54"/>
      <c r="BI54"/>
      <c r="BJ54"/>
      <c r="BK54"/>
      <c r="BL54"/>
      <c r="BM54"/>
      <c r="BN54"/>
      <c r="BO54"/>
      <c r="BP54"/>
      <c r="BQ54"/>
      <c r="BR54"/>
      <c r="BS54"/>
      <c r="BT54"/>
    </row>
    <row r="55" spans="2:72" s="37" customFormat="1" ht="14.55" customHeight="1" x14ac:dyDescent="0.3">
      <c r="B55" s="83" t="s">
        <v>135</v>
      </c>
      <c r="C55" s="84">
        <f t="shared" ref="C55:V55" si="57">C32-C54</f>
        <v>1132.6174999999998</v>
      </c>
      <c r="D55" s="84">
        <f t="shared" si="57"/>
        <v>1105.9425000000001</v>
      </c>
      <c r="E55" s="84">
        <f t="shared" si="57"/>
        <v>1054.816</v>
      </c>
      <c r="F55" s="84">
        <f t="shared" si="57"/>
        <v>1065.3720000000001</v>
      </c>
      <c r="G55" s="84">
        <f t="shared" si="57"/>
        <v>1121.614</v>
      </c>
      <c r="H55" s="84">
        <f t="shared" si="57"/>
        <v>1165.8599999999999</v>
      </c>
      <c r="I55" s="84">
        <f t="shared" si="57"/>
        <v>1153.085</v>
      </c>
      <c r="J55" s="84">
        <f t="shared" si="57"/>
        <v>1080.864</v>
      </c>
      <c r="K55" s="84">
        <f t="shared" si="57"/>
        <v>1072.954</v>
      </c>
      <c r="L55" s="84">
        <f t="shared" si="57"/>
        <v>1086.0340000000001</v>
      </c>
      <c r="M55" s="84">
        <f t="shared" si="57"/>
        <v>1078.96</v>
      </c>
      <c r="N55" s="84">
        <f t="shared" si="57"/>
        <v>999.9559999999999</v>
      </c>
      <c r="O55" s="84">
        <f t="shared" si="57"/>
        <v>1084.0319999999999</v>
      </c>
      <c r="P55" s="84">
        <f t="shared" si="57"/>
        <v>1110.02</v>
      </c>
      <c r="Q55" s="84">
        <f t="shared" si="57"/>
        <v>1111</v>
      </c>
      <c r="R55" s="84">
        <f t="shared" si="57"/>
        <v>1121</v>
      </c>
      <c r="S55" s="84">
        <f t="shared" si="57"/>
        <v>1161</v>
      </c>
      <c r="T55" s="84">
        <f t="shared" si="57"/>
        <v>1010</v>
      </c>
      <c r="U55" s="84">
        <f t="shared" si="57"/>
        <v>1144</v>
      </c>
      <c r="V55" s="84">
        <f t="shared" si="57"/>
        <v>1187</v>
      </c>
      <c r="W55" s="228">
        <v>1024</v>
      </c>
      <c r="X55" s="228">
        <v>1006</v>
      </c>
      <c r="Y55" s="228">
        <v>1119</v>
      </c>
      <c r="Z55" s="228">
        <v>1046</v>
      </c>
      <c r="AA55" s="228">
        <v>1020</v>
      </c>
      <c r="AB55" s="228">
        <v>1007</v>
      </c>
      <c r="AC55" s="228">
        <v>1047</v>
      </c>
      <c r="AD55" s="84">
        <f>769</f>
        <v>769</v>
      </c>
      <c r="AE55" s="228">
        <v>991</v>
      </c>
      <c r="AF55" s="228">
        <v>985</v>
      </c>
      <c r="AG55" s="228">
        <v>1005</v>
      </c>
      <c r="AH55" s="228">
        <v>945</v>
      </c>
      <c r="AI55" s="228">
        <v>962</v>
      </c>
      <c r="AJ55" s="228">
        <v>946</v>
      </c>
      <c r="AK55" s="228">
        <v>967</v>
      </c>
      <c r="AL55" s="228">
        <v>939</v>
      </c>
      <c r="AM55" s="228">
        <v>961</v>
      </c>
      <c r="AN55" s="228">
        <v>1006</v>
      </c>
      <c r="AO55" s="228">
        <v>977</v>
      </c>
      <c r="AP55" s="228">
        <v>932</v>
      </c>
      <c r="AQ55" s="228">
        <v>927</v>
      </c>
      <c r="AR55" s="228">
        <v>1012</v>
      </c>
      <c r="AS55" s="228">
        <v>1004</v>
      </c>
      <c r="AT55" s="228">
        <v>986</v>
      </c>
      <c r="AU55" s="228">
        <v>972</v>
      </c>
      <c r="AV55" s="228">
        <v>1002</v>
      </c>
      <c r="AW55" s="228">
        <v>929</v>
      </c>
      <c r="AX55" s="228">
        <v>1057</v>
      </c>
      <c r="AY55" s="228">
        <v>1044</v>
      </c>
      <c r="AZ55" s="228">
        <v>1046</v>
      </c>
      <c r="BA55" s="228">
        <v>1048</v>
      </c>
      <c r="BB55" s="228">
        <v>984</v>
      </c>
      <c r="BD55" s="38" t="s">
        <v>435</v>
      </c>
      <c r="BE55"/>
      <c r="BF55"/>
      <c r="BG55"/>
      <c r="BH55"/>
      <c r="BI55"/>
      <c r="BJ55"/>
      <c r="BK55"/>
      <c r="BL55"/>
      <c r="BM55"/>
      <c r="BN55"/>
      <c r="BO55"/>
      <c r="BP55"/>
      <c r="BQ55"/>
      <c r="BR55"/>
      <c r="BS55"/>
      <c r="BT55"/>
    </row>
    <row r="56" spans="2:72" s="73" customFormat="1" ht="14.55" customHeight="1" x14ac:dyDescent="0.3">
      <c r="B56" s="85" t="s">
        <v>10</v>
      </c>
      <c r="C56" s="86">
        <f t="shared" ref="C56:AX56" si="58">C55/C32</f>
        <v>0.53049999999999997</v>
      </c>
      <c r="D56" s="86">
        <f t="shared" si="58"/>
        <v>0.49750000000000005</v>
      </c>
      <c r="E56" s="86">
        <f t="shared" si="58"/>
        <v>0.47600000000000003</v>
      </c>
      <c r="F56" s="86">
        <f t="shared" si="58"/>
        <v>0.46200000000000002</v>
      </c>
      <c r="G56" s="86">
        <f t="shared" si="58"/>
        <v>0.48200000000000004</v>
      </c>
      <c r="H56" s="86">
        <f t="shared" si="58"/>
        <v>0.50800000000000001</v>
      </c>
      <c r="I56" s="86">
        <f t="shared" si="58"/>
        <v>0.51500000000000001</v>
      </c>
      <c r="J56" s="86">
        <f t="shared" si="58"/>
        <v>0.48599999999999999</v>
      </c>
      <c r="K56" s="86">
        <f t="shared" si="58"/>
        <v>0.50634922133081639</v>
      </c>
      <c r="L56" s="86">
        <f t="shared" si="58"/>
        <v>0.52163016330451495</v>
      </c>
      <c r="M56" s="86">
        <f t="shared" si="58"/>
        <v>0.52249878934624694</v>
      </c>
      <c r="N56" s="86">
        <f t="shared" si="58"/>
        <v>0.47101083372585961</v>
      </c>
      <c r="O56" s="86">
        <f t="shared" si="58"/>
        <v>0.50443555141926477</v>
      </c>
      <c r="P56" s="86">
        <f t="shared" si="58"/>
        <v>0.5260758293838862</v>
      </c>
      <c r="Q56" s="86">
        <f t="shared" si="58"/>
        <v>0.512927054478301</v>
      </c>
      <c r="R56" s="86">
        <f t="shared" si="58"/>
        <v>0.51516544117647056</v>
      </c>
      <c r="S56" s="86">
        <f t="shared" si="58"/>
        <v>0.54252336448598126</v>
      </c>
      <c r="T56" s="86">
        <f t="shared" si="58"/>
        <v>0.48049476688867743</v>
      </c>
      <c r="U56" s="86">
        <f t="shared" si="58"/>
        <v>0.53061224489795922</v>
      </c>
      <c r="V56" s="86">
        <f t="shared" si="58"/>
        <v>0.53613369467028005</v>
      </c>
      <c r="W56" s="86">
        <f t="shared" si="58"/>
        <v>0.43115789473684213</v>
      </c>
      <c r="X56" s="86">
        <f t="shared" si="58"/>
        <v>0.43083511777301925</v>
      </c>
      <c r="Y56" s="86">
        <f t="shared" si="58"/>
        <v>0.4796399485640806</v>
      </c>
      <c r="Z56" s="86">
        <f t="shared" si="58"/>
        <v>0.44023569023569026</v>
      </c>
      <c r="AA56" s="86">
        <f t="shared" si="58"/>
        <v>0.45596781403665626</v>
      </c>
      <c r="AB56" s="86">
        <f t="shared" si="58"/>
        <v>0.44835262689225291</v>
      </c>
      <c r="AC56" s="86">
        <f t="shared" si="58"/>
        <v>0.46245583038869259</v>
      </c>
      <c r="AD56" s="86">
        <f t="shared" si="58"/>
        <v>0.31451942740286298</v>
      </c>
      <c r="AE56" s="86">
        <f t="shared" si="58"/>
        <v>0.44399641577060933</v>
      </c>
      <c r="AF56" s="86">
        <f t="shared" si="58"/>
        <v>0.44650951949229373</v>
      </c>
      <c r="AG56" s="86">
        <f t="shared" si="58"/>
        <v>0.43982494529540483</v>
      </c>
      <c r="AH56" s="86">
        <f t="shared" si="58"/>
        <v>0.36486486486486486</v>
      </c>
      <c r="AI56" s="86">
        <f t="shared" si="58"/>
        <v>0.41093549765057669</v>
      </c>
      <c r="AJ56" s="86">
        <f t="shared" si="58"/>
        <v>0.4397954439795444</v>
      </c>
      <c r="AK56" s="86">
        <f t="shared" si="58"/>
        <v>0.43696339810212381</v>
      </c>
      <c r="AL56" s="86">
        <f t="shared" si="58"/>
        <v>0.41530296329057936</v>
      </c>
      <c r="AM56" s="86">
        <f t="shared" si="58"/>
        <v>0.42901785714285712</v>
      </c>
      <c r="AN56" s="86">
        <f t="shared" si="58"/>
        <v>0.44239226033421286</v>
      </c>
      <c r="AO56" s="86">
        <f t="shared" si="58"/>
        <v>0.43020695728753855</v>
      </c>
      <c r="AP56" s="86">
        <f t="shared" si="58"/>
        <v>0.37947882736156352</v>
      </c>
      <c r="AQ56" s="86">
        <f t="shared" si="58"/>
        <v>0.385286783042394</v>
      </c>
      <c r="AR56" s="86">
        <f t="shared" si="58"/>
        <v>0.41749174917491749</v>
      </c>
      <c r="AS56" s="86">
        <f t="shared" si="58"/>
        <v>0.41746361746361749</v>
      </c>
      <c r="AT56" s="86">
        <f t="shared" si="58"/>
        <v>0.38606108065779171</v>
      </c>
      <c r="AU56" s="86">
        <f t="shared" si="58"/>
        <v>0.38479809976247031</v>
      </c>
      <c r="AV56" s="86">
        <f t="shared" si="58"/>
        <v>0.40566801619433196</v>
      </c>
      <c r="AW56" s="86">
        <f t="shared" si="58"/>
        <v>0.38042588042588044</v>
      </c>
      <c r="AX56" s="86">
        <f t="shared" si="58"/>
        <v>0.38548504741064915</v>
      </c>
      <c r="AY56" s="86">
        <f t="shared" ref="AY56:AZ56" si="59">AY55/AY32</f>
        <v>0.40107568190549364</v>
      </c>
      <c r="AZ56" s="86">
        <f t="shared" si="59"/>
        <v>0.40448569218870845</v>
      </c>
      <c r="BA56" s="86">
        <f t="shared" ref="BA56:BB56" si="60">BA55/BA32</f>
        <v>0.40683229813664595</v>
      </c>
      <c r="BB56" s="86">
        <f t="shared" si="60"/>
        <v>0.35510645976181882</v>
      </c>
      <c r="BC56" s="87"/>
      <c r="BD56" s="38"/>
      <c r="BE56"/>
      <c r="BF56"/>
      <c r="BG56"/>
      <c r="BH56"/>
      <c r="BI56"/>
      <c r="BJ56"/>
      <c r="BK56"/>
      <c r="BL56"/>
      <c r="BM56"/>
      <c r="BN56"/>
      <c r="BO56"/>
      <c r="BP56"/>
      <c r="BQ56"/>
      <c r="BR56"/>
      <c r="BS56"/>
      <c r="BT56"/>
    </row>
    <row r="57" spans="2:72" s="73" customFormat="1" ht="14.55" customHeight="1" x14ac:dyDescent="0.3">
      <c r="B57" s="85" t="s">
        <v>406</v>
      </c>
      <c r="C57" s="86"/>
      <c r="D57" s="86"/>
      <c r="E57" s="86"/>
      <c r="F57" s="86"/>
      <c r="G57" s="86"/>
      <c r="H57" s="86"/>
      <c r="I57" s="86"/>
      <c r="J57" s="86"/>
      <c r="K57" s="86"/>
      <c r="L57" s="86"/>
      <c r="M57" s="86"/>
      <c r="N57" s="86"/>
      <c r="O57" s="86"/>
      <c r="P57" s="86"/>
      <c r="Q57" s="86"/>
      <c r="R57" s="86"/>
      <c r="S57" s="86"/>
      <c r="T57" s="86"/>
      <c r="U57" s="86"/>
      <c r="V57" s="86"/>
      <c r="W57" s="86"/>
      <c r="X57" s="86"/>
      <c r="Y57" s="86"/>
      <c r="Z57" s="86"/>
      <c r="AA57" s="86"/>
      <c r="AB57" s="86"/>
      <c r="AC57" s="86"/>
      <c r="AD57" s="86"/>
      <c r="AE57" s="86"/>
      <c r="AF57" s="86"/>
      <c r="AG57" s="86"/>
      <c r="AH57" s="86"/>
      <c r="AI57" s="86"/>
      <c r="AJ57" s="86"/>
      <c r="AK57" s="86"/>
      <c r="AL57" s="86"/>
      <c r="AM57" s="86"/>
      <c r="AN57" s="86"/>
      <c r="AO57" s="86"/>
      <c r="AP57" s="86"/>
      <c r="AQ57" s="86">
        <f>AQ56-AM56</f>
        <v>-4.3731074100463119E-2</v>
      </c>
      <c r="AR57" s="86">
        <f t="shared" ref="AR57:BB57" si="61">AR56-AN56</f>
        <v>-2.4900511159295369E-2</v>
      </c>
      <c r="AS57" s="86">
        <f t="shared" si="61"/>
        <v>-1.2743339823921063E-2</v>
      </c>
      <c r="AT57" s="86">
        <f t="shared" si="61"/>
        <v>6.582253296228191E-3</v>
      </c>
      <c r="AU57" s="86">
        <f t="shared" si="61"/>
        <v>-4.886832799236851E-4</v>
      </c>
      <c r="AV57" s="86">
        <f t="shared" si="61"/>
        <v>-1.1823732980585533E-2</v>
      </c>
      <c r="AW57" s="86">
        <f t="shared" si="61"/>
        <v>-3.7037737037737051E-2</v>
      </c>
      <c r="AX57" s="86">
        <f t="shared" si="61"/>
        <v>-5.7603324714255999E-4</v>
      </c>
      <c r="AY57" s="86">
        <f t="shared" si="61"/>
        <v>1.6277582143023328E-2</v>
      </c>
      <c r="AZ57" s="86">
        <f t="shared" si="61"/>
        <v>-1.182324005623514E-3</v>
      </c>
      <c r="BA57" s="86">
        <f t="shared" si="61"/>
        <v>2.6406417710765517E-2</v>
      </c>
      <c r="BB57" s="86">
        <f t="shared" si="61"/>
        <v>-3.0378587648830335E-2</v>
      </c>
      <c r="BC57" s="87"/>
      <c r="BD57" s="38"/>
      <c r="BE57"/>
      <c r="BF57"/>
      <c r="BG57"/>
      <c r="BH57"/>
      <c r="BI57"/>
      <c r="BJ57"/>
      <c r="BK57"/>
      <c r="BL57"/>
      <c r="BM57"/>
      <c r="BN57"/>
      <c r="BO57"/>
      <c r="BP57"/>
      <c r="BQ57"/>
      <c r="BR57"/>
      <c r="BS57"/>
      <c r="BT57"/>
    </row>
    <row r="58" spans="2:72" s="73" customFormat="1" ht="14.55" customHeight="1" x14ac:dyDescent="0.3">
      <c r="B58" s="89" t="s">
        <v>369</v>
      </c>
      <c r="C58" s="86"/>
      <c r="D58" s="86"/>
      <c r="E58" s="86"/>
      <c r="F58" s="86"/>
      <c r="G58" s="86"/>
      <c r="H58" s="86"/>
      <c r="I58" s="86"/>
      <c r="J58" s="86"/>
      <c r="K58" s="86"/>
      <c r="L58" s="86"/>
      <c r="M58" s="86"/>
      <c r="N58" s="86"/>
      <c r="O58" s="86"/>
      <c r="P58" s="86"/>
      <c r="Q58" s="86"/>
      <c r="R58" s="86"/>
      <c r="S58" s="86"/>
      <c r="T58" s="86"/>
      <c r="U58" s="86"/>
      <c r="V58" s="86"/>
      <c r="W58" s="86"/>
      <c r="X58" s="86"/>
      <c r="Y58" s="86"/>
      <c r="Z58" s="86"/>
      <c r="AA58" s="86"/>
      <c r="AB58" s="86"/>
      <c r="AC58" s="86"/>
      <c r="AD58" s="86"/>
      <c r="AE58" s="86"/>
      <c r="AF58" s="86"/>
      <c r="AG58" s="86"/>
      <c r="AH58" s="86"/>
      <c r="AI58" s="86"/>
      <c r="AJ58" s="86"/>
      <c r="AK58" s="86"/>
      <c r="AL58" s="86"/>
      <c r="AM58" s="224">
        <v>964</v>
      </c>
      <c r="AN58" s="224">
        <v>1011</v>
      </c>
      <c r="AO58" s="224">
        <v>984</v>
      </c>
      <c r="AP58" s="224">
        <v>939</v>
      </c>
      <c r="AQ58" s="86"/>
      <c r="AR58" s="75"/>
      <c r="AS58" s="224"/>
      <c r="AT58" s="224"/>
      <c r="AU58" s="224"/>
      <c r="AV58" s="75"/>
      <c r="AW58" s="75"/>
      <c r="AX58" s="75"/>
      <c r="AY58" s="75"/>
      <c r="AZ58" s="75"/>
      <c r="BA58" s="75"/>
      <c r="BB58" s="75"/>
      <c r="BC58" s="87"/>
      <c r="BD58" s="38"/>
      <c r="BE58"/>
      <c r="BF58"/>
      <c r="BG58"/>
      <c r="BH58"/>
      <c r="BI58"/>
      <c r="BJ58"/>
      <c r="BK58"/>
      <c r="BL58"/>
      <c r="BM58"/>
      <c r="BN58"/>
      <c r="BO58"/>
      <c r="BP58"/>
      <c r="BQ58"/>
      <c r="BR58"/>
      <c r="BS58"/>
      <c r="BT58"/>
    </row>
    <row r="59" spans="2:72" s="73" customFormat="1" ht="14.55" customHeight="1" x14ac:dyDescent="0.3">
      <c r="B59" s="85"/>
      <c r="C59" s="90"/>
      <c r="D59" s="86"/>
      <c r="E59" s="86"/>
      <c r="F59" s="86"/>
      <c r="G59" s="86"/>
      <c r="H59" s="86"/>
      <c r="I59" s="86"/>
      <c r="J59" s="86"/>
      <c r="K59" s="86"/>
      <c r="L59" s="86"/>
      <c r="M59" s="86"/>
      <c r="N59" s="86"/>
      <c r="O59" s="86"/>
      <c r="P59" s="86"/>
      <c r="Q59" s="86"/>
      <c r="R59" s="86"/>
      <c r="S59" s="86"/>
      <c r="T59" s="86"/>
      <c r="U59" s="86"/>
      <c r="V59" s="86"/>
      <c r="W59" s="86"/>
      <c r="X59" s="86"/>
      <c r="Y59" s="86"/>
      <c r="Z59" s="86"/>
      <c r="AA59" s="86"/>
      <c r="AB59" s="86"/>
      <c r="AC59" s="86"/>
      <c r="AD59" s="86"/>
      <c r="AE59" s="86"/>
      <c r="AF59" s="86"/>
      <c r="AG59" s="86"/>
      <c r="AH59" s="86"/>
      <c r="AI59" s="86"/>
      <c r="AJ59" s="86"/>
      <c r="AK59" s="86"/>
      <c r="AL59" s="86"/>
      <c r="AM59" s="86"/>
      <c r="AN59" s="86"/>
      <c r="AO59" s="86"/>
      <c r="AP59" s="86"/>
      <c r="AQ59" s="86"/>
      <c r="AR59" s="86"/>
      <c r="AS59" s="86"/>
      <c r="AT59" s="86"/>
      <c r="AU59" s="86"/>
      <c r="AV59" s="86"/>
      <c r="AW59" s="86"/>
      <c r="AX59" s="86"/>
      <c r="AY59" s="86"/>
      <c r="AZ59" s="86"/>
      <c r="BA59" s="86"/>
      <c r="BB59" s="86"/>
      <c r="BC59" s="87"/>
      <c r="BD59" s="38"/>
      <c r="BE59"/>
      <c r="BF59"/>
      <c r="BG59"/>
      <c r="BH59"/>
      <c r="BI59"/>
      <c r="BJ59"/>
      <c r="BK59"/>
      <c r="BL59"/>
      <c r="BM59"/>
      <c r="BN59"/>
      <c r="BO59"/>
      <c r="BP59"/>
      <c r="BQ59"/>
      <c r="BR59"/>
      <c r="BS59"/>
      <c r="BT59"/>
    </row>
    <row r="60" spans="2:72" s="88" customFormat="1" ht="14.55" customHeight="1" x14ac:dyDescent="0.3">
      <c r="B60" s="91" t="s">
        <v>66</v>
      </c>
      <c r="C60" s="229">
        <v>1133</v>
      </c>
      <c r="D60" s="229">
        <v>1106</v>
      </c>
      <c r="E60" s="229">
        <v>1055</v>
      </c>
      <c r="F60" s="229">
        <v>1065</v>
      </c>
      <c r="G60" s="229">
        <v>1122</v>
      </c>
      <c r="H60" s="229">
        <v>1165</v>
      </c>
      <c r="I60" s="229">
        <v>1154</v>
      </c>
      <c r="J60" s="229">
        <v>1081</v>
      </c>
      <c r="K60" s="229">
        <v>1073</v>
      </c>
      <c r="L60" s="229">
        <v>1086</v>
      </c>
      <c r="M60" s="229">
        <v>1079</v>
      </c>
      <c r="N60" s="229">
        <v>1034</v>
      </c>
      <c r="O60" s="229">
        <v>1047</v>
      </c>
      <c r="P60" s="229">
        <v>1101</v>
      </c>
      <c r="Q60" s="229">
        <v>1021</v>
      </c>
      <c r="R60" s="229">
        <v>1162</v>
      </c>
      <c r="S60" s="229">
        <v>1213</v>
      </c>
      <c r="T60" s="229">
        <v>1050</v>
      </c>
      <c r="U60" s="229">
        <v>1130</v>
      </c>
      <c r="V60" s="229">
        <v>1158</v>
      </c>
      <c r="W60" s="229">
        <v>1013</v>
      </c>
      <c r="X60" s="229">
        <v>1125</v>
      </c>
      <c r="Y60" s="229">
        <v>1109</v>
      </c>
      <c r="Z60" s="229">
        <v>1061</v>
      </c>
      <c r="AA60" s="229">
        <v>1023</v>
      </c>
      <c r="AB60" s="229">
        <v>1007</v>
      </c>
      <c r="AC60" s="229">
        <v>1025</v>
      </c>
      <c r="AD60" s="229">
        <v>762</v>
      </c>
      <c r="AE60" s="229">
        <v>982</v>
      </c>
      <c r="AF60" s="229">
        <v>978</v>
      </c>
      <c r="AG60" s="229">
        <v>986</v>
      </c>
      <c r="AH60" s="229">
        <v>945</v>
      </c>
      <c r="AI60" s="229">
        <v>944</v>
      </c>
      <c r="AJ60" s="229">
        <v>938</v>
      </c>
      <c r="AK60" s="229">
        <v>953</v>
      </c>
      <c r="AL60" s="229">
        <v>924</v>
      </c>
      <c r="AM60" s="229">
        <v>961</v>
      </c>
      <c r="AN60" s="229">
        <v>996</v>
      </c>
      <c r="AO60" s="229">
        <v>969</v>
      </c>
      <c r="AP60" s="229">
        <v>932</v>
      </c>
      <c r="AQ60" s="229">
        <v>927</v>
      </c>
      <c r="AR60" s="229">
        <v>1012</v>
      </c>
      <c r="AS60" s="229">
        <v>1004</v>
      </c>
      <c r="AT60" s="229">
        <v>986</v>
      </c>
      <c r="AU60" s="229">
        <v>972</v>
      </c>
      <c r="AV60" s="229">
        <v>1002</v>
      </c>
      <c r="AW60" s="229">
        <v>929</v>
      </c>
      <c r="AX60" s="229">
        <v>1057</v>
      </c>
      <c r="AY60" s="229">
        <v>1044</v>
      </c>
      <c r="AZ60" s="229">
        <v>1046</v>
      </c>
      <c r="BA60" s="229">
        <v>1048</v>
      </c>
      <c r="BB60" s="229">
        <v>984</v>
      </c>
      <c r="BC60" s="92"/>
      <c r="BD60" s="38"/>
      <c r="BE60"/>
      <c r="BF60"/>
      <c r="BG60"/>
      <c r="BH60"/>
      <c r="BI60"/>
      <c r="BJ60"/>
      <c r="BK60"/>
      <c r="BL60"/>
      <c r="BM60"/>
      <c r="BN60"/>
      <c r="BO60"/>
      <c r="BP60"/>
      <c r="BQ60"/>
      <c r="BR60"/>
      <c r="BS60"/>
      <c r="BT60"/>
    </row>
    <row r="61" spans="2:72" s="73" customFormat="1" ht="14.55" customHeight="1" x14ac:dyDescent="0.3">
      <c r="B61" s="85" t="s">
        <v>10</v>
      </c>
      <c r="C61" s="86">
        <f t="shared" ref="C61:AX61" si="62">C60/C32</f>
        <v>0.53067915690866507</v>
      </c>
      <c r="D61" s="86">
        <f t="shared" si="62"/>
        <v>0.49752586594691856</v>
      </c>
      <c r="E61" s="86">
        <f t="shared" si="62"/>
        <v>0.47608303249097472</v>
      </c>
      <c r="F61" s="86">
        <f t="shared" si="62"/>
        <v>0.46183868169991327</v>
      </c>
      <c r="G61" s="86">
        <f t="shared" si="62"/>
        <v>0.48216587881392353</v>
      </c>
      <c r="H61" s="86">
        <f t="shared" si="62"/>
        <v>0.50762527233115473</v>
      </c>
      <c r="I61" s="86">
        <f t="shared" si="62"/>
        <v>0.51540866458240286</v>
      </c>
      <c r="J61" s="86">
        <f t="shared" si="62"/>
        <v>0.48606115107913667</v>
      </c>
      <c r="K61" s="86">
        <f t="shared" si="62"/>
        <v>0.50637092968381314</v>
      </c>
      <c r="L61" s="86">
        <f t="shared" si="62"/>
        <v>0.52161383285302598</v>
      </c>
      <c r="M61" s="86">
        <f t="shared" si="62"/>
        <v>0.52251815980629535</v>
      </c>
      <c r="N61" s="86">
        <f t="shared" si="62"/>
        <v>0.48704663212435234</v>
      </c>
      <c r="O61" s="86">
        <f t="shared" si="62"/>
        <v>0.48720335039553281</v>
      </c>
      <c r="P61" s="86">
        <f t="shared" si="62"/>
        <v>0.52180094786729858</v>
      </c>
      <c r="Q61" s="86">
        <f t="shared" si="62"/>
        <v>0.47137580794090489</v>
      </c>
      <c r="R61" s="86">
        <f t="shared" si="62"/>
        <v>0.53400735294117652</v>
      </c>
      <c r="S61" s="86">
        <f t="shared" si="62"/>
        <v>0.56682242990654208</v>
      </c>
      <c r="T61" s="86">
        <f t="shared" si="62"/>
        <v>0.49952426260704091</v>
      </c>
      <c r="U61" s="86">
        <f t="shared" si="62"/>
        <v>0.52411873840445267</v>
      </c>
      <c r="V61" s="86">
        <f t="shared" si="62"/>
        <v>0.52303523035230348</v>
      </c>
      <c r="W61" s="86">
        <f t="shared" si="62"/>
        <v>0.4265263157894737</v>
      </c>
      <c r="X61" s="86">
        <f t="shared" si="62"/>
        <v>0.4817987152034261</v>
      </c>
      <c r="Y61" s="86">
        <f t="shared" si="62"/>
        <v>0.47535362194599229</v>
      </c>
      <c r="Z61" s="86">
        <f t="shared" si="62"/>
        <v>0.44654882154882153</v>
      </c>
      <c r="AA61" s="86">
        <f t="shared" si="62"/>
        <v>0.45730889584264639</v>
      </c>
      <c r="AB61" s="86">
        <f t="shared" si="62"/>
        <v>0.44835262689225291</v>
      </c>
      <c r="AC61" s="86">
        <f t="shared" si="62"/>
        <v>0.45273851590106007</v>
      </c>
      <c r="AD61" s="86">
        <f t="shared" si="62"/>
        <v>0.31165644171779139</v>
      </c>
      <c r="AE61" s="86">
        <f t="shared" si="62"/>
        <v>0.43996415770609321</v>
      </c>
      <c r="AF61" s="86">
        <f t="shared" si="62"/>
        <v>0.44333635539437899</v>
      </c>
      <c r="AG61" s="86">
        <f t="shared" si="62"/>
        <v>0.4315098468271335</v>
      </c>
      <c r="AH61" s="86">
        <f t="shared" si="62"/>
        <v>0.36486486486486486</v>
      </c>
      <c r="AI61" s="86">
        <f t="shared" si="62"/>
        <v>0.40324647586501494</v>
      </c>
      <c r="AJ61" s="86">
        <f t="shared" si="62"/>
        <v>0.43607624360762437</v>
      </c>
      <c r="AK61" s="86">
        <f t="shared" si="62"/>
        <v>0.43063714414821508</v>
      </c>
      <c r="AL61" s="86">
        <f t="shared" si="62"/>
        <v>0.4086687306501548</v>
      </c>
      <c r="AM61" s="86">
        <f t="shared" si="62"/>
        <v>0.42901785714285712</v>
      </c>
      <c r="AN61" s="86">
        <f t="shared" si="62"/>
        <v>0.43799472295514513</v>
      </c>
      <c r="AO61" s="86">
        <f t="shared" si="62"/>
        <v>0.42668428005284015</v>
      </c>
      <c r="AP61" s="86">
        <f t="shared" si="62"/>
        <v>0.37947882736156352</v>
      </c>
      <c r="AQ61" s="86">
        <f t="shared" si="62"/>
        <v>0.385286783042394</v>
      </c>
      <c r="AR61" s="86">
        <f t="shared" si="62"/>
        <v>0.41749174917491749</v>
      </c>
      <c r="AS61" s="86">
        <f t="shared" si="62"/>
        <v>0.41746361746361749</v>
      </c>
      <c r="AT61" s="86">
        <f t="shared" si="62"/>
        <v>0.38606108065779171</v>
      </c>
      <c r="AU61" s="86">
        <f t="shared" si="62"/>
        <v>0.38479809976247031</v>
      </c>
      <c r="AV61" s="86">
        <f t="shared" si="62"/>
        <v>0.40566801619433196</v>
      </c>
      <c r="AW61" s="86">
        <f t="shared" si="62"/>
        <v>0.38042588042588044</v>
      </c>
      <c r="AX61" s="86">
        <f t="shared" si="62"/>
        <v>0.38548504741064915</v>
      </c>
      <c r="AY61" s="86">
        <f t="shared" ref="AY61:AZ61" si="63">AY60/AY32</f>
        <v>0.40107568190549364</v>
      </c>
      <c r="AZ61" s="86">
        <f t="shared" si="63"/>
        <v>0.40448569218870845</v>
      </c>
      <c r="BA61" s="86">
        <f t="shared" ref="BA61:BB61" si="64">BA60/BA32</f>
        <v>0.40683229813664595</v>
      </c>
      <c r="BB61" s="86">
        <f t="shared" si="64"/>
        <v>0.35510645976181882</v>
      </c>
      <c r="BC61" s="87"/>
      <c r="BD61" s="38"/>
      <c r="BE61"/>
      <c r="BF61"/>
      <c r="BG61"/>
      <c r="BH61"/>
      <c r="BI61"/>
      <c r="BJ61"/>
      <c r="BK61"/>
      <c r="BL61"/>
      <c r="BM61"/>
      <c r="BN61"/>
      <c r="BO61"/>
      <c r="BP61"/>
      <c r="BQ61"/>
      <c r="BR61"/>
      <c r="BS61"/>
      <c r="BT61"/>
    </row>
    <row r="62" spans="2:72" s="73" customFormat="1" ht="14.55" customHeight="1" x14ac:dyDescent="0.3">
      <c r="B62" s="85"/>
      <c r="C62" s="86"/>
      <c r="D62" s="86"/>
      <c r="E62" s="86"/>
      <c r="F62" s="86"/>
      <c r="G62" s="86"/>
      <c r="H62" s="86"/>
      <c r="I62" s="86"/>
      <c r="J62" s="86"/>
      <c r="K62" s="86"/>
      <c r="L62" s="86"/>
      <c r="M62" s="86"/>
      <c r="N62" s="86"/>
      <c r="O62" s="86"/>
      <c r="P62" s="86"/>
      <c r="Q62" s="86"/>
      <c r="R62" s="86"/>
      <c r="S62" s="86"/>
      <c r="T62" s="86"/>
      <c r="U62" s="86"/>
      <c r="V62" s="86"/>
      <c r="W62" s="86"/>
      <c r="X62" s="86"/>
      <c r="Y62" s="86"/>
      <c r="Z62" s="86"/>
      <c r="AA62" s="86"/>
      <c r="AB62" s="86"/>
      <c r="AC62" s="86"/>
      <c r="AD62" s="86"/>
      <c r="AE62" s="86"/>
      <c r="AF62" s="86"/>
      <c r="AG62" s="86"/>
      <c r="AH62" s="86"/>
      <c r="AI62" s="86"/>
      <c r="AJ62" s="86"/>
      <c r="AK62" s="86"/>
      <c r="AL62" s="86"/>
      <c r="AM62" s="86"/>
      <c r="AN62" s="86"/>
      <c r="AO62" s="86"/>
      <c r="AP62" s="86"/>
      <c r="AQ62" s="86"/>
      <c r="AR62" s="86"/>
      <c r="AS62" s="86"/>
      <c r="AT62" s="86"/>
      <c r="AU62" s="86"/>
      <c r="AV62" s="86"/>
      <c r="AW62" s="86"/>
      <c r="AX62" s="86"/>
      <c r="AY62" s="86">
        <f>AY61-AU61</f>
        <v>1.6277582143023328E-2</v>
      </c>
      <c r="AZ62" s="86">
        <f>AZ61-AV61</f>
        <v>-1.182324005623514E-3</v>
      </c>
      <c r="BA62" s="86">
        <f>BA61-AW61</f>
        <v>2.6406417710765517E-2</v>
      </c>
      <c r="BB62" s="86">
        <f>BB61-AX61</f>
        <v>-3.0378587648830335E-2</v>
      </c>
      <c r="BC62" s="87"/>
      <c r="BD62" s="38"/>
      <c r="BE62"/>
      <c r="BF62"/>
      <c r="BG62"/>
      <c r="BH62"/>
      <c r="BI62"/>
      <c r="BJ62"/>
      <c r="BK62"/>
      <c r="BL62"/>
      <c r="BM62"/>
      <c r="BN62"/>
      <c r="BO62"/>
      <c r="BP62"/>
      <c r="BQ62"/>
      <c r="BR62"/>
      <c r="BS62"/>
      <c r="BT62"/>
    </row>
    <row r="63" spans="2:72" s="73" customFormat="1" ht="14.55" customHeight="1" x14ac:dyDescent="0.3">
      <c r="B63" s="85" t="s">
        <v>368</v>
      </c>
      <c r="C63" s="86"/>
      <c r="D63" s="86"/>
      <c r="E63" s="86"/>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86"/>
      <c r="AF63" s="86"/>
      <c r="AG63" s="86"/>
      <c r="AH63" s="86"/>
      <c r="AI63" s="86"/>
      <c r="AJ63" s="86"/>
      <c r="AK63" s="86"/>
      <c r="AL63" s="86"/>
      <c r="AM63" s="217">
        <v>949</v>
      </c>
      <c r="AN63" s="217">
        <v>996</v>
      </c>
      <c r="AO63" s="217">
        <v>969</v>
      </c>
      <c r="AP63" s="217">
        <v>924</v>
      </c>
      <c r="AQ63" s="44"/>
      <c r="AR63" s="44"/>
      <c r="AS63" s="217"/>
      <c r="AT63" s="217"/>
      <c r="AU63" s="217"/>
      <c r="AV63" s="44"/>
      <c r="AW63" s="44"/>
      <c r="AX63" s="44"/>
      <c r="AY63" s="44"/>
      <c r="AZ63" s="44"/>
      <c r="BA63" s="44"/>
      <c r="BB63" s="44"/>
      <c r="BC63" s="87"/>
      <c r="BD63" s="38"/>
      <c r="BE63"/>
      <c r="BF63"/>
      <c r="BG63"/>
      <c r="BH63"/>
      <c r="BI63"/>
      <c r="BJ63"/>
      <c r="BK63"/>
      <c r="BL63"/>
      <c r="BM63"/>
      <c r="BN63"/>
      <c r="BO63"/>
      <c r="BP63"/>
      <c r="BQ63"/>
      <c r="BR63"/>
      <c r="BS63"/>
      <c r="BT63"/>
    </row>
    <row r="64" spans="2:72" s="73" customFormat="1" ht="14.55" customHeight="1" x14ac:dyDescent="0.3">
      <c r="B64" s="85"/>
      <c r="C64" s="90"/>
      <c r="D64" s="86"/>
      <c r="E64" s="86"/>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c r="AF64" s="86"/>
      <c r="AG64" s="86"/>
      <c r="AH64" s="86"/>
      <c r="AI64" s="86"/>
      <c r="AJ64" s="86"/>
      <c r="AK64" s="86"/>
      <c r="AL64" s="86"/>
      <c r="AM64" s="86"/>
      <c r="AN64" s="86"/>
      <c r="AO64" s="86"/>
      <c r="AP64" s="86"/>
      <c r="AQ64" s="86"/>
      <c r="AR64" s="86"/>
      <c r="AS64" s="86"/>
      <c r="AT64" s="86"/>
      <c r="AU64" s="86"/>
      <c r="AV64" s="86"/>
      <c r="AW64" s="86"/>
      <c r="AX64" s="86"/>
      <c r="AY64" s="86"/>
      <c r="AZ64" s="86"/>
      <c r="BA64" s="86"/>
      <c r="BB64" s="86"/>
      <c r="BC64" s="87"/>
      <c r="BD64" s="38"/>
      <c r="BE64"/>
      <c r="BF64"/>
      <c r="BG64"/>
      <c r="BH64"/>
      <c r="BI64"/>
      <c r="BJ64"/>
      <c r="BK64"/>
      <c r="BL64"/>
      <c r="BM64"/>
      <c r="BN64"/>
      <c r="BO64"/>
      <c r="BP64"/>
      <c r="BQ64"/>
      <c r="BR64"/>
      <c r="BS64"/>
      <c r="BT64"/>
    </row>
    <row r="65" spans="2:75" ht="14.55" customHeight="1" x14ac:dyDescent="0.3">
      <c r="B65" s="93" t="s">
        <v>411</v>
      </c>
      <c r="C65" s="226">
        <v>295</v>
      </c>
      <c r="D65" s="226">
        <v>289</v>
      </c>
      <c r="E65" s="226">
        <v>289</v>
      </c>
      <c r="F65" s="226">
        <v>489</v>
      </c>
      <c r="G65" s="226">
        <v>370</v>
      </c>
      <c r="H65" s="226">
        <v>340</v>
      </c>
      <c r="I65" s="226">
        <v>303</v>
      </c>
      <c r="J65" s="226">
        <v>353</v>
      </c>
      <c r="K65" s="226">
        <v>332</v>
      </c>
      <c r="L65" s="226">
        <v>335</v>
      </c>
      <c r="M65" s="226">
        <v>326</v>
      </c>
      <c r="N65" s="226">
        <v>221</v>
      </c>
      <c r="O65" s="226">
        <v>237</v>
      </c>
      <c r="P65" s="226">
        <v>240</v>
      </c>
      <c r="Q65" s="226">
        <v>238</v>
      </c>
      <c r="R65" s="226">
        <v>249</v>
      </c>
      <c r="S65" s="226">
        <v>260</v>
      </c>
      <c r="T65" s="226">
        <v>254</v>
      </c>
      <c r="U65" s="226">
        <v>261</v>
      </c>
      <c r="V65" s="226">
        <v>266</v>
      </c>
      <c r="W65" s="226">
        <v>240</v>
      </c>
      <c r="X65" s="226">
        <v>238</v>
      </c>
      <c r="Y65" s="90">
        <f>362-Y66</f>
        <v>264</v>
      </c>
      <c r="Z65" s="226">
        <v>279</v>
      </c>
      <c r="AA65" s="226">
        <v>235</v>
      </c>
      <c r="AB65" s="226">
        <v>268</v>
      </c>
      <c r="AC65" s="226">
        <v>260</v>
      </c>
      <c r="AD65" s="226">
        <v>305</v>
      </c>
      <c r="AE65" s="226">
        <v>323</v>
      </c>
      <c r="AF65" s="226">
        <v>323</v>
      </c>
      <c r="AG65" s="226">
        <v>375</v>
      </c>
      <c r="AH65" s="90">
        <f>333+25</f>
        <v>358</v>
      </c>
      <c r="AI65" s="90">
        <f>355</f>
        <v>355</v>
      </c>
      <c r="AJ65" s="90">
        <f>357</f>
        <v>357</v>
      </c>
      <c r="AK65" s="90">
        <f>339</f>
        <v>339</v>
      </c>
      <c r="AL65" s="90">
        <f>362</f>
        <v>362</v>
      </c>
      <c r="AM65" s="226">
        <v>386</v>
      </c>
      <c r="AN65" s="226">
        <v>393</v>
      </c>
      <c r="AO65" s="90">
        <f>369</f>
        <v>369</v>
      </c>
      <c r="AP65" s="90">
        <f>372</f>
        <v>372</v>
      </c>
      <c r="AQ65" s="226">
        <v>350</v>
      </c>
      <c r="AR65" s="226">
        <v>343</v>
      </c>
      <c r="AS65" s="226">
        <v>343</v>
      </c>
      <c r="AT65" s="226">
        <v>372</v>
      </c>
      <c r="AU65" s="226">
        <v>349</v>
      </c>
      <c r="AV65" s="226">
        <v>346</v>
      </c>
      <c r="AW65" s="226">
        <v>350</v>
      </c>
      <c r="AX65" s="226">
        <v>480</v>
      </c>
      <c r="AY65" s="226">
        <v>367</v>
      </c>
      <c r="AZ65" s="226">
        <v>364</v>
      </c>
      <c r="BA65" s="226">
        <v>362</v>
      </c>
      <c r="BB65" s="226">
        <v>370</v>
      </c>
      <c r="BC65" s="94"/>
    </row>
    <row r="66" spans="2:75" ht="14.55" customHeight="1" x14ac:dyDescent="0.3">
      <c r="B66" s="93" t="s">
        <v>161</v>
      </c>
      <c r="C66" s="90"/>
      <c r="D66" s="90"/>
      <c r="E66" s="90"/>
      <c r="F66" s="90"/>
      <c r="G66" s="90"/>
      <c r="H66" s="90"/>
      <c r="I66" s="90"/>
      <c r="J66" s="90"/>
      <c r="K66" s="90"/>
      <c r="L66" s="90"/>
      <c r="M66" s="90"/>
      <c r="N66" s="226">
        <v>61</v>
      </c>
      <c r="O66" s="226">
        <v>62</v>
      </c>
      <c r="P66" s="226">
        <v>67</v>
      </c>
      <c r="Q66" s="226">
        <v>71</v>
      </c>
      <c r="R66" s="226">
        <v>79</v>
      </c>
      <c r="S66" s="226">
        <v>86</v>
      </c>
      <c r="T66" s="226">
        <v>82</v>
      </c>
      <c r="U66" s="226">
        <v>83</v>
      </c>
      <c r="V66" s="226">
        <v>90</v>
      </c>
      <c r="W66" s="226">
        <v>97</v>
      </c>
      <c r="X66" s="226">
        <v>98</v>
      </c>
      <c r="Y66" s="226">
        <v>98</v>
      </c>
      <c r="Z66" s="226">
        <v>104</v>
      </c>
      <c r="AA66" s="90"/>
      <c r="AB66" s="90"/>
      <c r="AC66" s="90"/>
      <c r="AD66" s="90"/>
      <c r="AE66" s="90"/>
      <c r="AF66" s="90"/>
      <c r="AG66" s="90"/>
      <c r="AH66" s="90"/>
      <c r="AI66" s="226">
        <v>10</v>
      </c>
      <c r="AJ66" s="226">
        <v>17</v>
      </c>
      <c r="AK66" s="226">
        <v>16</v>
      </c>
      <c r="AL66" s="226">
        <v>19</v>
      </c>
      <c r="AM66" s="226">
        <v>21</v>
      </c>
      <c r="AN66" s="226">
        <v>31</v>
      </c>
      <c r="AO66" s="226">
        <v>66</v>
      </c>
      <c r="AP66" s="226">
        <v>63</v>
      </c>
      <c r="AQ66" s="226">
        <v>67</v>
      </c>
      <c r="AR66" s="226">
        <v>69</v>
      </c>
      <c r="AS66" s="226">
        <v>84</v>
      </c>
      <c r="AT66" s="226">
        <v>93</v>
      </c>
      <c r="AU66" s="226">
        <v>82</v>
      </c>
      <c r="AV66" s="226">
        <v>85</v>
      </c>
      <c r="AW66" s="226">
        <v>82</v>
      </c>
      <c r="AX66" s="226">
        <v>129</v>
      </c>
      <c r="AY66" s="226">
        <v>81</v>
      </c>
      <c r="AZ66" s="226">
        <v>75</v>
      </c>
      <c r="BA66" s="226">
        <v>81</v>
      </c>
      <c r="BB66" s="226">
        <v>80</v>
      </c>
      <c r="BC66" s="94"/>
    </row>
    <row r="67" spans="2:75" ht="14.55" customHeight="1" x14ac:dyDescent="0.3">
      <c r="B67" s="93" t="s">
        <v>64</v>
      </c>
      <c r="C67" s="90"/>
      <c r="D67" s="90"/>
      <c r="E67" s="90"/>
      <c r="F67" s="90"/>
      <c r="G67" s="90"/>
      <c r="H67" s="90"/>
      <c r="I67" s="90"/>
      <c r="J67" s="90"/>
      <c r="K67" s="90"/>
      <c r="L67" s="90"/>
      <c r="M67" s="90"/>
      <c r="N67" s="90">
        <f t="shared" ref="N67:O67" si="65">N69+N66+N65-N55</f>
        <v>-4.9559999999999036</v>
      </c>
      <c r="O67" s="90">
        <f t="shared" si="65"/>
        <v>-7.0319999999999254</v>
      </c>
      <c r="P67" s="90">
        <f t="shared" ref="P67" si="66">P69+P66+P65-P55</f>
        <v>-2</v>
      </c>
      <c r="Q67" s="90">
        <f t="shared" ref="Q67" si="67">Q69+Q66+Q65-Q55</f>
        <v>-9</v>
      </c>
      <c r="R67" s="90">
        <f t="shared" ref="R67" si="68">R69+R66+R65-R55</f>
        <v>-10</v>
      </c>
      <c r="S67" s="90">
        <f t="shared" ref="S67:U67" si="69">S69+S66+S65-S55</f>
        <v>-23</v>
      </c>
      <c r="T67" s="90">
        <f t="shared" si="69"/>
        <v>-4</v>
      </c>
      <c r="U67" s="90">
        <f t="shared" si="69"/>
        <v>-4</v>
      </c>
      <c r="V67" s="226">
        <v>-10</v>
      </c>
      <c r="W67" s="226">
        <v>3</v>
      </c>
      <c r="X67" s="90">
        <f>X69+X66+X65-X55</f>
        <v>95</v>
      </c>
      <c r="Y67" s="226">
        <v>2</v>
      </c>
      <c r="Z67" s="226">
        <v>9</v>
      </c>
      <c r="AA67" s="226">
        <v>7</v>
      </c>
      <c r="AB67" s="226">
        <v>16</v>
      </c>
      <c r="AC67" s="226">
        <v>11</v>
      </c>
      <c r="AD67" s="90">
        <f>14+16</f>
        <v>30</v>
      </c>
      <c r="AE67" s="90">
        <f>5+15</f>
        <v>20</v>
      </c>
      <c r="AF67" s="90">
        <f>6+15</f>
        <v>21</v>
      </c>
      <c r="AG67" s="90">
        <f>23+15</f>
        <v>38</v>
      </c>
      <c r="AH67" s="90">
        <f>-1+15</f>
        <v>14</v>
      </c>
      <c r="AI67" s="90">
        <f>3+15</f>
        <v>18</v>
      </c>
      <c r="AJ67" s="90">
        <f>4+15</f>
        <v>19</v>
      </c>
      <c r="AK67" s="90">
        <f>9+15</f>
        <v>24</v>
      </c>
      <c r="AL67" s="90">
        <f>11+15</f>
        <v>26</v>
      </c>
      <c r="AM67" s="90">
        <f>1+15</f>
        <v>16</v>
      </c>
      <c r="AN67" s="90">
        <f>9+15</f>
        <v>24</v>
      </c>
      <c r="AO67" s="90">
        <f>-6+15</f>
        <v>9</v>
      </c>
      <c r="AP67" s="90">
        <f>11+15</f>
        <v>26</v>
      </c>
      <c r="AQ67" s="226">
        <v>10</v>
      </c>
      <c r="AR67" s="226">
        <v>-3</v>
      </c>
      <c r="AS67" s="226">
        <v>-3</v>
      </c>
      <c r="AT67" s="226">
        <v>-3</v>
      </c>
      <c r="AU67" s="90">
        <v>0</v>
      </c>
      <c r="AV67" s="226">
        <v>-3</v>
      </c>
      <c r="AW67" s="226">
        <v>-5</v>
      </c>
      <c r="AX67" s="226">
        <v>-159</v>
      </c>
      <c r="AY67" s="226">
        <v>-1</v>
      </c>
      <c r="AZ67" s="226">
        <v>-12</v>
      </c>
      <c r="BA67" s="226">
        <v>-8</v>
      </c>
      <c r="BB67" s="226">
        <v>3</v>
      </c>
      <c r="BC67" s="94"/>
    </row>
    <row r="68" spans="2:75" ht="14.55" customHeight="1" x14ac:dyDescent="0.3">
      <c r="B68" s="93"/>
      <c r="C68" s="90"/>
      <c r="D68" s="90"/>
      <c r="E68" s="90"/>
      <c r="F68" s="90"/>
      <c r="G68" s="90"/>
      <c r="H68" s="90"/>
      <c r="I68" s="90"/>
      <c r="J68" s="90"/>
      <c r="K68" s="90"/>
      <c r="L68" s="90"/>
      <c r="M68" s="90"/>
      <c r="N68" s="90"/>
      <c r="O68" s="90"/>
      <c r="P68" s="90"/>
      <c r="Q68" s="90"/>
      <c r="R68" s="90"/>
      <c r="S68" s="90"/>
      <c r="T68" s="90"/>
      <c r="U68" s="90"/>
      <c r="V68" s="90"/>
      <c r="W68" s="90"/>
      <c r="X68" s="90"/>
      <c r="Y68" s="90"/>
      <c r="Z68" s="90"/>
      <c r="AA68" s="90"/>
      <c r="AB68" s="90"/>
      <c r="AC68" s="90"/>
      <c r="AD68" s="90"/>
      <c r="AE68" s="90"/>
      <c r="AF68" s="90"/>
      <c r="AG68" s="90"/>
      <c r="AH68" s="90"/>
      <c r="AI68" s="90"/>
      <c r="AJ68" s="90"/>
      <c r="AK68" s="90"/>
      <c r="AL68" s="90"/>
      <c r="AM68" s="90"/>
      <c r="AN68" s="90"/>
      <c r="AO68" s="90"/>
      <c r="AP68" s="90"/>
      <c r="AQ68" s="90"/>
      <c r="AR68" s="90"/>
      <c r="AS68" s="90"/>
      <c r="AT68" s="90"/>
      <c r="AU68" s="90"/>
      <c r="AV68" s="90"/>
      <c r="AW68" s="90"/>
      <c r="AX68" s="90"/>
      <c r="AY68" s="90"/>
      <c r="AZ68" s="90"/>
      <c r="BA68" s="90"/>
      <c r="BB68" s="90"/>
      <c r="BC68" s="94"/>
    </row>
    <row r="69" spans="2:75" ht="14.55" customHeight="1" x14ac:dyDescent="0.3">
      <c r="B69" s="85" t="s">
        <v>162</v>
      </c>
      <c r="C69" s="226">
        <v>837.61750000000006</v>
      </c>
      <c r="D69" s="226">
        <v>816.94250000000011</v>
      </c>
      <c r="E69" s="226">
        <v>765.8159999999998</v>
      </c>
      <c r="F69" s="226">
        <v>576.37200000000007</v>
      </c>
      <c r="G69" s="226">
        <v>752</v>
      </c>
      <c r="H69" s="226">
        <v>825.8599999999999</v>
      </c>
      <c r="I69" s="226">
        <v>850.08500000000004</v>
      </c>
      <c r="J69" s="226">
        <v>727.86400000000003</v>
      </c>
      <c r="K69" s="226">
        <v>740.95399999999995</v>
      </c>
      <c r="L69" s="226">
        <v>751.03400000000011</v>
      </c>
      <c r="M69" s="226">
        <v>752.96</v>
      </c>
      <c r="N69" s="226">
        <v>713</v>
      </c>
      <c r="O69" s="226">
        <v>778</v>
      </c>
      <c r="P69" s="226">
        <v>801.02</v>
      </c>
      <c r="Q69" s="226">
        <v>793</v>
      </c>
      <c r="R69" s="226">
        <v>783</v>
      </c>
      <c r="S69" s="226">
        <v>792</v>
      </c>
      <c r="T69" s="226">
        <v>670</v>
      </c>
      <c r="U69" s="226">
        <v>796</v>
      </c>
      <c r="V69" s="90">
        <f t="shared" ref="V69" si="70">V74-V71</f>
        <v>841</v>
      </c>
      <c r="W69" s="226">
        <v>779</v>
      </c>
      <c r="X69" s="226">
        <v>765</v>
      </c>
      <c r="Y69" s="226">
        <v>850</v>
      </c>
      <c r="Z69" s="226">
        <v>755</v>
      </c>
      <c r="AA69" s="226">
        <v>778</v>
      </c>
      <c r="AB69" s="90">
        <f>AB55-AB65-AB67</f>
        <v>723</v>
      </c>
      <c r="AC69" s="90">
        <f>AC55-AC65-AC67</f>
        <v>776</v>
      </c>
      <c r="AD69" s="226">
        <v>434</v>
      </c>
      <c r="AE69" s="226">
        <v>648</v>
      </c>
      <c r="AF69" s="226">
        <v>641</v>
      </c>
      <c r="AG69" s="226">
        <v>592</v>
      </c>
      <c r="AH69" s="226">
        <v>573</v>
      </c>
      <c r="AI69" s="226">
        <v>579</v>
      </c>
      <c r="AJ69" s="226">
        <v>553</v>
      </c>
      <c r="AK69" s="226">
        <v>588</v>
      </c>
      <c r="AL69" s="226">
        <v>532</v>
      </c>
      <c r="AM69" s="90">
        <f t="shared" ref="AM69:AR69" si="71">AM71+AM74</f>
        <v>344</v>
      </c>
      <c r="AN69" s="90">
        <f t="shared" si="71"/>
        <v>374</v>
      </c>
      <c r="AO69" s="90">
        <f t="shared" si="71"/>
        <v>342</v>
      </c>
      <c r="AP69" s="90">
        <f t="shared" si="71"/>
        <v>290</v>
      </c>
      <c r="AQ69" s="90">
        <f t="shared" si="71"/>
        <v>338</v>
      </c>
      <c r="AR69" s="90">
        <f t="shared" si="71"/>
        <v>399</v>
      </c>
      <c r="AS69" s="90">
        <f t="shared" ref="AS69:AT69" si="72">AS71+AS74</f>
        <v>362</v>
      </c>
      <c r="AT69" s="90">
        <f t="shared" si="72"/>
        <v>296</v>
      </c>
      <c r="AU69" s="90">
        <f t="shared" ref="AU69:AV69" si="73">AU71+AU74</f>
        <v>317</v>
      </c>
      <c r="AV69" s="90">
        <f t="shared" si="73"/>
        <v>338</v>
      </c>
      <c r="AW69" s="90">
        <f t="shared" ref="AW69:AX69" si="74">AW71+AW74</f>
        <v>276</v>
      </c>
      <c r="AX69" s="90">
        <f t="shared" si="74"/>
        <v>67</v>
      </c>
      <c r="AY69" s="90">
        <f t="shared" ref="AY69:AZ69" si="75">AY71+AY74</f>
        <v>368</v>
      </c>
      <c r="AZ69" s="90">
        <f t="shared" si="75"/>
        <v>371</v>
      </c>
      <c r="BA69" s="90">
        <f t="shared" ref="BA69:BB69" si="76">BA71+BA74</f>
        <v>375</v>
      </c>
      <c r="BB69" s="90">
        <f t="shared" si="76"/>
        <v>316</v>
      </c>
      <c r="BC69" s="51"/>
    </row>
    <row r="70" spans="2:75" ht="14.55" customHeight="1" x14ac:dyDescent="0.3">
      <c r="B70" s="85"/>
      <c r="C70" s="90"/>
      <c r="D70" s="90"/>
      <c r="E70" s="90"/>
      <c r="F70" s="90"/>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90"/>
      <c r="AX70" s="90"/>
      <c r="AY70" s="90"/>
      <c r="AZ70" s="90"/>
      <c r="BA70" s="90"/>
      <c r="BB70" s="90"/>
      <c r="BC70" s="69"/>
      <c r="BD70" s="37"/>
    </row>
    <row r="71" spans="2:75" ht="14.55" customHeight="1" x14ac:dyDescent="0.3">
      <c r="B71" s="95" t="s">
        <v>42</v>
      </c>
      <c r="C71" s="226">
        <v>-71</v>
      </c>
      <c r="D71" s="226">
        <v>-64</v>
      </c>
      <c r="E71" s="226">
        <v>-76</v>
      </c>
      <c r="F71" s="226">
        <v>-77</v>
      </c>
      <c r="G71" s="226">
        <v>-79</v>
      </c>
      <c r="H71" s="226">
        <v>-81</v>
      </c>
      <c r="I71" s="226">
        <v>-82</v>
      </c>
      <c r="J71" s="226">
        <v>-87</v>
      </c>
      <c r="K71" s="226">
        <v>-90</v>
      </c>
      <c r="L71" s="226">
        <v>-100</v>
      </c>
      <c r="M71" s="226">
        <v>-101</v>
      </c>
      <c r="N71" s="226">
        <v>-98</v>
      </c>
      <c r="O71" s="226">
        <v>-95</v>
      </c>
      <c r="P71" s="226">
        <v>-105</v>
      </c>
      <c r="Q71" s="226">
        <v>-110</v>
      </c>
      <c r="R71" s="226">
        <v>-101</v>
      </c>
      <c r="S71" s="226">
        <v>-106</v>
      </c>
      <c r="T71" s="226">
        <v>-102</v>
      </c>
      <c r="U71" s="226">
        <v>-98</v>
      </c>
      <c r="V71" s="226">
        <v>-109</v>
      </c>
      <c r="W71" s="226">
        <v>-95</v>
      </c>
      <c r="X71" s="90">
        <f>-122+15</f>
        <v>-107</v>
      </c>
      <c r="Y71" s="90">
        <f>-120+20</f>
        <v>-100</v>
      </c>
      <c r="Z71" s="90">
        <f>-94+12</f>
        <v>-82</v>
      </c>
      <c r="AA71" s="90">
        <f>-97+9-14</f>
        <v>-102</v>
      </c>
      <c r="AB71" s="90">
        <f>9-94</f>
        <v>-85</v>
      </c>
      <c r="AC71" s="90">
        <f>11-103</f>
        <v>-92</v>
      </c>
      <c r="AD71" s="90">
        <f>-95+16</f>
        <v>-79</v>
      </c>
      <c r="AE71" s="90">
        <f>(127-15)*-1</f>
        <v>-112</v>
      </c>
      <c r="AF71" s="90">
        <f>(128-15)*-1</f>
        <v>-113</v>
      </c>
      <c r="AG71" s="90">
        <f>(128-20)*-1</f>
        <v>-108</v>
      </c>
      <c r="AH71" s="90">
        <f>(139-20)*-1</f>
        <v>-119</v>
      </c>
      <c r="AI71" s="90">
        <f>(125-23)*-1</f>
        <v>-102</v>
      </c>
      <c r="AJ71" s="90">
        <f>(126-23)*-1</f>
        <v>-103</v>
      </c>
      <c r="AK71" s="90">
        <f>(119-20)*-1</f>
        <v>-99</v>
      </c>
      <c r="AL71" s="90">
        <f>(119-18)*-1</f>
        <v>-101</v>
      </c>
      <c r="AM71" s="90">
        <f>(125-16)*-1</f>
        <v>-109</v>
      </c>
      <c r="AN71" s="90">
        <f>(125-15)*-1</f>
        <v>-110</v>
      </c>
      <c r="AO71" s="90">
        <f>(112-13)*-1</f>
        <v>-99</v>
      </c>
      <c r="AP71" s="90">
        <f>(110-16)*-1</f>
        <v>-94</v>
      </c>
      <c r="AQ71" s="90">
        <f>(99-8)*-1</f>
        <v>-91</v>
      </c>
      <c r="AR71" s="90">
        <f>(104-5)*-1</f>
        <v>-99</v>
      </c>
      <c r="AS71" s="90">
        <f>(114-8)*-1</f>
        <v>-106</v>
      </c>
      <c r="AT71" s="90">
        <f>(120-9)*-1</f>
        <v>-111</v>
      </c>
      <c r="AU71" s="90">
        <f>(117-5)*-1</f>
        <v>-112</v>
      </c>
      <c r="AV71" s="90">
        <f>(123-8)*-1</f>
        <v>-115</v>
      </c>
      <c r="AW71" s="90">
        <f>(113-5)*-1</f>
        <v>-108</v>
      </c>
      <c r="AX71" s="90">
        <f>(120-9)*-1</f>
        <v>-111</v>
      </c>
      <c r="AY71" s="90">
        <f>(120-9)*-1</f>
        <v>-111</v>
      </c>
      <c r="AZ71" s="90">
        <f>-119+7</f>
        <v>-112</v>
      </c>
      <c r="BA71" s="90">
        <f>-119+7</f>
        <v>-112</v>
      </c>
      <c r="BB71" s="90">
        <f>-119+7</f>
        <v>-112</v>
      </c>
      <c r="BD71" s="37"/>
    </row>
    <row r="72" spans="2:75" ht="14.55" customHeight="1" x14ac:dyDescent="0.3">
      <c r="B72" s="95"/>
      <c r="C72" s="75"/>
      <c r="D72" s="75"/>
      <c r="E72" s="75"/>
      <c r="F72" s="75"/>
      <c r="G72" s="75"/>
      <c r="H72" s="75"/>
      <c r="I72" s="75"/>
      <c r="J72" s="75"/>
      <c r="K72" s="75"/>
      <c r="L72" s="75"/>
      <c r="M72" s="75"/>
      <c r="N72" s="75"/>
      <c r="O72" s="75"/>
      <c r="P72" s="75"/>
      <c r="Q72" s="75"/>
      <c r="R72" s="75"/>
      <c r="S72" s="75"/>
      <c r="T72" s="75"/>
      <c r="U72" s="75"/>
      <c r="V72" s="75"/>
      <c r="W72" s="75"/>
      <c r="X72" s="75"/>
      <c r="Y72" s="75"/>
      <c r="Z72" s="75"/>
      <c r="AA72" s="75"/>
      <c r="AB72" s="75"/>
      <c r="AC72" s="75"/>
      <c r="AD72" s="75"/>
      <c r="AE72" s="90"/>
      <c r="AF72" s="75"/>
      <c r="AG72" s="75"/>
      <c r="AH72" s="75"/>
      <c r="AI72" s="75"/>
      <c r="AJ72" s="75"/>
      <c r="AK72" s="75"/>
      <c r="AL72" s="75"/>
      <c r="AM72" s="75"/>
      <c r="AN72" s="75"/>
      <c r="AO72" s="75"/>
      <c r="AP72" s="75"/>
      <c r="AQ72" s="75"/>
      <c r="AR72" s="75"/>
      <c r="AS72" s="75"/>
      <c r="AT72" s="75"/>
      <c r="AU72" s="75"/>
      <c r="AV72" s="75"/>
      <c r="AW72" s="75"/>
      <c r="AX72" s="75"/>
      <c r="AY72" s="75"/>
      <c r="AZ72" s="75"/>
      <c r="BA72" s="75"/>
      <c r="BB72" s="75"/>
      <c r="BD72" s="37"/>
    </row>
    <row r="73" spans="2:75" ht="14.55" customHeight="1" x14ac:dyDescent="0.3">
      <c r="B73" s="42"/>
      <c r="C73" s="90"/>
      <c r="D73" s="90"/>
      <c r="E73" s="90"/>
      <c r="F73" s="90"/>
      <c r="G73" s="90"/>
      <c r="H73" s="90"/>
      <c r="I73" s="90"/>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90"/>
      <c r="AX73" s="90"/>
      <c r="AY73" s="90"/>
      <c r="AZ73" s="90"/>
      <c r="BA73" s="90"/>
      <c r="BB73" s="90"/>
    </row>
    <row r="74" spans="2:75" ht="14.55" customHeight="1" x14ac:dyDescent="0.3">
      <c r="B74" s="42" t="s">
        <v>150</v>
      </c>
      <c r="C74" s="97">
        <f>C69+C71</f>
        <v>766.61750000000006</v>
      </c>
      <c r="D74" s="97">
        <f t="shared" ref="D74:R74" si="77">D69+D71</f>
        <v>752.94250000000011</v>
      </c>
      <c r="E74" s="97">
        <f t="shared" si="77"/>
        <v>689.8159999999998</v>
      </c>
      <c r="F74" s="97">
        <f t="shared" si="77"/>
        <v>499.37200000000007</v>
      </c>
      <c r="G74" s="97">
        <f t="shared" si="77"/>
        <v>673</v>
      </c>
      <c r="H74" s="97">
        <f t="shared" si="77"/>
        <v>744.8599999999999</v>
      </c>
      <c r="I74" s="97">
        <f t="shared" si="77"/>
        <v>768.08500000000004</v>
      </c>
      <c r="J74" s="97">
        <f t="shared" si="77"/>
        <v>640.86400000000003</v>
      </c>
      <c r="K74" s="97">
        <f t="shared" si="77"/>
        <v>650.95399999999995</v>
      </c>
      <c r="L74" s="97">
        <f t="shared" si="77"/>
        <v>651.03400000000011</v>
      </c>
      <c r="M74" s="97">
        <f t="shared" si="77"/>
        <v>651.96</v>
      </c>
      <c r="N74" s="230">
        <v>615</v>
      </c>
      <c r="O74" s="230">
        <v>683</v>
      </c>
      <c r="P74" s="97">
        <f t="shared" si="77"/>
        <v>696.02</v>
      </c>
      <c r="Q74" s="97">
        <f t="shared" si="77"/>
        <v>683</v>
      </c>
      <c r="R74" s="97">
        <f t="shared" si="77"/>
        <v>682</v>
      </c>
      <c r="S74" s="230">
        <v>686</v>
      </c>
      <c r="T74" s="230">
        <v>568</v>
      </c>
      <c r="U74" s="230">
        <v>698</v>
      </c>
      <c r="V74" s="230">
        <v>732</v>
      </c>
      <c r="W74" s="230">
        <v>684</v>
      </c>
      <c r="X74" s="230">
        <v>658</v>
      </c>
      <c r="Y74" s="230">
        <v>736</v>
      </c>
      <c r="Z74" s="230">
        <v>659</v>
      </c>
      <c r="AA74" s="230">
        <v>676</v>
      </c>
      <c r="AB74" s="230">
        <v>635</v>
      </c>
      <c r="AC74" s="230">
        <v>684</v>
      </c>
      <c r="AD74" s="230">
        <v>355</v>
      </c>
      <c r="AE74" s="230">
        <v>536</v>
      </c>
      <c r="AF74" s="230">
        <v>528</v>
      </c>
      <c r="AG74" s="230">
        <v>484</v>
      </c>
      <c r="AH74" s="230">
        <v>454</v>
      </c>
      <c r="AI74" s="230">
        <v>477</v>
      </c>
      <c r="AJ74" s="230">
        <v>450</v>
      </c>
      <c r="AK74" s="230">
        <v>489</v>
      </c>
      <c r="AL74" s="230">
        <v>431</v>
      </c>
      <c r="AM74" s="230">
        <v>453</v>
      </c>
      <c r="AN74" s="230">
        <v>484</v>
      </c>
      <c r="AO74" s="230">
        <v>441</v>
      </c>
      <c r="AP74" s="230">
        <v>384</v>
      </c>
      <c r="AQ74" s="230">
        <v>429</v>
      </c>
      <c r="AR74" s="230">
        <v>498</v>
      </c>
      <c r="AS74" s="230">
        <v>468</v>
      </c>
      <c r="AT74" s="230">
        <v>407</v>
      </c>
      <c r="AU74" s="230">
        <v>429</v>
      </c>
      <c r="AV74" s="230">
        <v>453</v>
      </c>
      <c r="AW74" s="230">
        <v>384</v>
      </c>
      <c r="AX74" s="230">
        <v>178</v>
      </c>
      <c r="AY74" s="230">
        <v>479</v>
      </c>
      <c r="AZ74" s="230">
        <v>483</v>
      </c>
      <c r="BA74" s="230">
        <v>487</v>
      </c>
      <c r="BB74" s="230">
        <v>428</v>
      </c>
      <c r="BU74" s="52"/>
      <c r="BV74" s="52"/>
      <c r="BW74" s="52"/>
    </row>
    <row r="75" spans="2:75" s="81" customFormat="1" ht="14.55" customHeight="1" x14ac:dyDescent="0.3">
      <c r="B75" s="98" t="s">
        <v>43</v>
      </c>
      <c r="C75" s="231">
        <v>-194</v>
      </c>
      <c r="D75" s="231">
        <v>-164</v>
      </c>
      <c r="E75" s="231">
        <v>-189</v>
      </c>
      <c r="F75" s="231">
        <v>-169</v>
      </c>
      <c r="G75" s="231">
        <v>-190</v>
      </c>
      <c r="H75" s="231">
        <v>-205</v>
      </c>
      <c r="I75" s="231">
        <v>-193</v>
      </c>
      <c r="J75" s="231">
        <v>-136</v>
      </c>
      <c r="K75" s="231">
        <v>-169</v>
      </c>
      <c r="L75" s="231">
        <v>-160.76864535768644</v>
      </c>
      <c r="M75" s="231">
        <v>-192</v>
      </c>
      <c r="N75" s="231">
        <v>-196</v>
      </c>
      <c r="O75" s="231">
        <v>-201</v>
      </c>
      <c r="P75" s="231">
        <v>-205</v>
      </c>
      <c r="Q75" s="231">
        <v>-173</v>
      </c>
      <c r="R75" s="231">
        <v>-205</v>
      </c>
      <c r="S75" s="231">
        <v>-202</v>
      </c>
      <c r="T75" s="231">
        <v>-144</v>
      </c>
      <c r="U75" s="231">
        <v>-179</v>
      </c>
      <c r="V75" s="231">
        <v>-184</v>
      </c>
      <c r="W75" s="231">
        <v>-174</v>
      </c>
      <c r="X75" s="99">
        <f>X76-X74</f>
        <v>-176</v>
      </c>
      <c r="Y75" s="99">
        <f>Y76-Y74</f>
        <v>-175</v>
      </c>
      <c r="Z75" s="231">
        <v>-151</v>
      </c>
      <c r="AA75" s="231">
        <v>-166</v>
      </c>
      <c r="AB75" s="231">
        <v>-157</v>
      </c>
      <c r="AC75" s="231">
        <v>-166</v>
      </c>
      <c r="AD75" s="231">
        <v>-96</v>
      </c>
      <c r="AE75" s="231">
        <v>-134</v>
      </c>
      <c r="AF75" s="231">
        <v>-139</v>
      </c>
      <c r="AG75" s="231">
        <v>-124</v>
      </c>
      <c r="AH75" s="231">
        <v>-112</v>
      </c>
      <c r="AI75" s="231">
        <v>-118</v>
      </c>
      <c r="AJ75" s="231">
        <v>-113</v>
      </c>
      <c r="AK75" s="231">
        <v>-126</v>
      </c>
      <c r="AL75" s="231">
        <v>-112</v>
      </c>
      <c r="AM75" s="99">
        <f t="shared" ref="AM75:AR75" si="78">AM76-AM74</f>
        <v>-119</v>
      </c>
      <c r="AN75" s="99">
        <f t="shared" si="78"/>
        <v>-124</v>
      </c>
      <c r="AO75" s="99">
        <f t="shared" si="78"/>
        <v>-116</v>
      </c>
      <c r="AP75" s="99">
        <f t="shared" si="78"/>
        <v>-95</v>
      </c>
      <c r="AQ75" s="99">
        <f>AQ76-AQ74</f>
        <v>-140</v>
      </c>
      <c r="AR75" s="99">
        <f t="shared" si="78"/>
        <v>-176</v>
      </c>
      <c r="AS75" s="99">
        <f t="shared" ref="AS75:AT75" si="79">AS76-AS74</f>
        <v>-160</v>
      </c>
      <c r="AT75" s="99">
        <f t="shared" si="79"/>
        <v>-175</v>
      </c>
      <c r="AU75" s="99">
        <f t="shared" ref="AU75:AV75" si="80">AU76-AU74</f>
        <v>-109</v>
      </c>
      <c r="AV75" s="99">
        <f t="shared" si="80"/>
        <v>-124</v>
      </c>
      <c r="AW75" s="99">
        <f t="shared" ref="AW75:AX75" si="81">AW76-AW74</f>
        <v>-97</v>
      </c>
      <c r="AX75" s="99">
        <f t="shared" si="81"/>
        <v>-122</v>
      </c>
      <c r="AY75" s="99">
        <f t="shared" ref="AY75:AZ75" si="82">AY76-AY74</f>
        <v>-126</v>
      </c>
      <c r="AZ75" s="99">
        <f t="shared" si="82"/>
        <v>-127</v>
      </c>
      <c r="BA75" s="99">
        <f t="shared" ref="BA75:BB75" si="83">BA76-BA74</f>
        <v>-121</v>
      </c>
      <c r="BB75" s="99">
        <f t="shared" si="83"/>
        <v>-107</v>
      </c>
      <c r="BE75"/>
      <c r="BF75"/>
      <c r="BG75"/>
      <c r="BH75"/>
      <c r="BI75"/>
      <c r="BJ75"/>
      <c r="BK75"/>
      <c r="BL75"/>
      <c r="BM75"/>
      <c r="BN75"/>
      <c r="BO75"/>
      <c r="BP75"/>
      <c r="BQ75"/>
      <c r="BR75"/>
      <c r="BS75"/>
      <c r="BT75"/>
    </row>
    <row r="76" spans="2:75" ht="14.55" customHeight="1" x14ac:dyDescent="0.3">
      <c r="B76" s="100" t="s">
        <v>61</v>
      </c>
      <c r="C76" s="101">
        <f>C74+C75</f>
        <v>572.61750000000006</v>
      </c>
      <c r="D76" s="101">
        <f t="shared" ref="D76:R76" si="84">D74+D75</f>
        <v>588.94250000000011</v>
      </c>
      <c r="E76" s="101">
        <f t="shared" si="84"/>
        <v>500.8159999999998</v>
      </c>
      <c r="F76" s="101">
        <f t="shared" si="84"/>
        <v>330.37200000000007</v>
      </c>
      <c r="G76" s="101">
        <f t="shared" si="84"/>
        <v>483</v>
      </c>
      <c r="H76" s="101">
        <f t="shared" si="84"/>
        <v>539.8599999999999</v>
      </c>
      <c r="I76" s="101">
        <f t="shared" si="84"/>
        <v>575.08500000000004</v>
      </c>
      <c r="J76" s="101">
        <f t="shared" si="84"/>
        <v>504.86400000000003</v>
      </c>
      <c r="K76" s="101">
        <f t="shared" si="84"/>
        <v>481.95399999999995</v>
      </c>
      <c r="L76" s="101">
        <f t="shared" si="84"/>
        <v>490.2653546423137</v>
      </c>
      <c r="M76" s="101">
        <f t="shared" si="84"/>
        <v>459.96000000000004</v>
      </c>
      <c r="N76" s="101">
        <f t="shared" si="84"/>
        <v>419</v>
      </c>
      <c r="O76" s="101">
        <f t="shared" si="84"/>
        <v>482</v>
      </c>
      <c r="P76" s="101">
        <f t="shared" si="84"/>
        <v>491.02</v>
      </c>
      <c r="Q76" s="101">
        <f t="shared" si="84"/>
        <v>510</v>
      </c>
      <c r="R76" s="101">
        <f t="shared" si="84"/>
        <v>477</v>
      </c>
      <c r="S76" s="232">
        <v>487</v>
      </c>
      <c r="T76" s="232">
        <v>424</v>
      </c>
      <c r="U76" s="232">
        <v>518</v>
      </c>
      <c r="V76" s="232">
        <v>547</v>
      </c>
      <c r="W76" s="232">
        <v>510</v>
      </c>
      <c r="X76" s="232">
        <v>482</v>
      </c>
      <c r="Y76" s="232">
        <v>561</v>
      </c>
      <c r="Z76" s="232">
        <v>520</v>
      </c>
      <c r="AA76" s="232">
        <v>510</v>
      </c>
      <c r="AB76" s="232">
        <v>478</v>
      </c>
      <c r="AC76" s="232">
        <v>518</v>
      </c>
      <c r="AD76" s="232">
        <v>259</v>
      </c>
      <c r="AE76" s="232">
        <v>402</v>
      </c>
      <c r="AF76" s="232">
        <v>389</v>
      </c>
      <c r="AG76" s="232">
        <v>360</v>
      </c>
      <c r="AH76" s="232">
        <v>342</v>
      </c>
      <c r="AI76" s="232">
        <v>359</v>
      </c>
      <c r="AJ76" s="232">
        <v>337</v>
      </c>
      <c r="AK76" s="232">
        <v>363</v>
      </c>
      <c r="AL76" s="232">
        <v>319</v>
      </c>
      <c r="AM76" s="232">
        <v>334</v>
      </c>
      <c r="AN76" s="232">
        <v>360</v>
      </c>
      <c r="AO76" s="232">
        <v>325</v>
      </c>
      <c r="AP76" s="232">
        <v>289</v>
      </c>
      <c r="AQ76" s="232">
        <v>289</v>
      </c>
      <c r="AR76" s="232">
        <v>322</v>
      </c>
      <c r="AS76" s="232">
        <v>308</v>
      </c>
      <c r="AT76" s="232">
        <v>232</v>
      </c>
      <c r="AU76" s="232">
        <v>320</v>
      </c>
      <c r="AV76" s="232">
        <v>329</v>
      </c>
      <c r="AW76" s="232">
        <v>287</v>
      </c>
      <c r="AX76" s="232">
        <v>56</v>
      </c>
      <c r="AY76" s="232">
        <v>353</v>
      </c>
      <c r="AZ76" s="232">
        <v>356</v>
      </c>
      <c r="BA76" s="232">
        <v>366</v>
      </c>
      <c r="BB76" s="232">
        <v>321</v>
      </c>
    </row>
    <row r="77" spans="2:75" ht="14.55" customHeight="1" x14ac:dyDescent="0.3">
      <c r="B77" s="42" t="s">
        <v>151</v>
      </c>
      <c r="C77" s="96"/>
      <c r="D77" s="96"/>
      <c r="E77" s="96"/>
      <c r="F77" s="96"/>
      <c r="G77" s="96"/>
      <c r="H77" s="96"/>
      <c r="I77" s="96"/>
      <c r="J77" s="96"/>
      <c r="K77" s="96"/>
      <c r="L77" s="96"/>
      <c r="M77" s="96"/>
      <c r="N77" s="96"/>
      <c r="O77" s="96"/>
      <c r="P77" s="96"/>
      <c r="Q77" s="96"/>
      <c r="R77" s="96"/>
      <c r="S77" s="230">
        <v>520</v>
      </c>
      <c r="T77" s="230">
        <v>483</v>
      </c>
      <c r="U77" s="230">
        <v>505</v>
      </c>
      <c r="V77" s="230">
        <v>505</v>
      </c>
      <c r="W77" s="230">
        <v>502</v>
      </c>
      <c r="X77" s="230">
        <v>572</v>
      </c>
      <c r="Y77" s="230">
        <v>564</v>
      </c>
      <c r="Z77" s="230">
        <v>542</v>
      </c>
      <c r="AA77" s="230">
        <v>523</v>
      </c>
      <c r="AB77" s="230">
        <v>480</v>
      </c>
      <c r="AC77" s="230">
        <v>513</v>
      </c>
      <c r="AD77" s="230">
        <v>266</v>
      </c>
      <c r="AE77" s="230">
        <v>407</v>
      </c>
      <c r="AF77" s="230">
        <v>395</v>
      </c>
      <c r="AG77" s="230">
        <v>357</v>
      </c>
      <c r="AH77" s="230">
        <v>353</v>
      </c>
      <c r="AI77" s="230">
        <v>357</v>
      </c>
      <c r="AJ77" s="230">
        <v>342</v>
      </c>
      <c r="AK77" s="230">
        <v>364</v>
      </c>
      <c r="AL77" s="230">
        <v>319</v>
      </c>
      <c r="AM77" s="230">
        <v>334</v>
      </c>
      <c r="AN77" s="230">
        <v>360</v>
      </c>
      <c r="AO77" s="230">
        <v>325</v>
      </c>
      <c r="AP77" s="230">
        <v>289</v>
      </c>
      <c r="AQ77" s="230">
        <v>289</v>
      </c>
      <c r="AR77" s="230">
        <v>322</v>
      </c>
      <c r="AS77" s="230">
        <v>308</v>
      </c>
      <c r="AT77" s="230">
        <v>232</v>
      </c>
      <c r="AU77" s="230">
        <v>320</v>
      </c>
      <c r="AV77" s="230">
        <v>329</v>
      </c>
      <c r="AW77" s="230">
        <v>287</v>
      </c>
      <c r="AX77" s="230">
        <v>56</v>
      </c>
      <c r="AY77" s="230"/>
      <c r="AZ77" s="230"/>
      <c r="BA77" s="230"/>
      <c r="BB77" s="230"/>
    </row>
    <row r="78" spans="2:75" ht="14.55" customHeight="1" x14ac:dyDescent="0.3">
      <c r="B78" s="39"/>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02"/>
      <c r="AB78" s="102"/>
      <c r="AC78" s="102"/>
      <c r="AD78" s="102"/>
      <c r="AE78" s="103"/>
      <c r="AF78" s="103"/>
      <c r="AG78" s="103"/>
      <c r="AH78" s="103"/>
      <c r="AI78" s="103"/>
      <c r="AJ78" s="103"/>
      <c r="AK78" s="103"/>
      <c r="AL78" s="103"/>
      <c r="AM78" s="103"/>
      <c r="AN78" s="103"/>
      <c r="AO78" s="103"/>
      <c r="AP78" s="103"/>
      <c r="AQ78" s="104"/>
      <c r="AR78" s="104"/>
      <c r="AS78" s="103"/>
      <c r="AT78" s="103"/>
      <c r="AU78" s="103"/>
      <c r="AV78" s="104"/>
      <c r="AW78" s="104"/>
      <c r="AX78" s="104"/>
      <c r="AY78" s="104"/>
      <c r="AZ78" s="104"/>
      <c r="BA78" s="104"/>
      <c r="BB78" s="104"/>
    </row>
    <row r="79" spans="2:75" ht="14.55" customHeight="1" x14ac:dyDescent="0.3">
      <c r="B79" s="39" t="s">
        <v>421</v>
      </c>
      <c r="C79" s="102"/>
      <c r="D79" s="102"/>
      <c r="E79" s="102"/>
      <c r="F79" s="102"/>
      <c r="G79" s="102"/>
      <c r="H79" s="102"/>
      <c r="I79" s="102"/>
      <c r="J79" s="102"/>
      <c r="K79" s="102"/>
      <c r="L79" s="102"/>
      <c r="M79" s="102"/>
      <c r="N79" s="102"/>
      <c r="O79" s="102"/>
      <c r="P79" s="102"/>
      <c r="Q79" s="102"/>
      <c r="R79" s="102"/>
      <c r="S79" s="102"/>
      <c r="T79" s="102"/>
      <c r="U79" s="102"/>
      <c r="V79" s="102"/>
      <c r="W79" s="102"/>
      <c r="X79" s="102"/>
      <c r="Y79" s="102"/>
      <c r="Z79" s="102"/>
      <c r="AA79" s="102"/>
      <c r="AB79" s="102"/>
      <c r="AC79" s="102"/>
      <c r="AD79" s="102"/>
      <c r="AE79" s="103"/>
      <c r="AF79" s="103"/>
      <c r="AG79" s="103"/>
      <c r="AH79" s="103"/>
      <c r="AI79" s="103"/>
      <c r="AJ79" s="103"/>
      <c r="AK79" s="103"/>
      <c r="AL79" s="103"/>
      <c r="AM79" s="103"/>
      <c r="AN79" s="103"/>
      <c r="AO79" s="103"/>
      <c r="AP79" s="103"/>
      <c r="AQ79" s="104"/>
      <c r="AR79" s="104"/>
      <c r="AS79" s="103"/>
      <c r="AT79" s="103"/>
      <c r="AU79" s="309">
        <f>AU81-AU76</f>
        <v>0</v>
      </c>
      <c r="AV79" s="309">
        <f>AV81-AV76</f>
        <v>0</v>
      </c>
      <c r="AW79" s="309">
        <f>AW81-AW76</f>
        <v>57</v>
      </c>
      <c r="AX79" s="309">
        <f>AX81-AX76</f>
        <v>304</v>
      </c>
      <c r="AY79" s="309">
        <f t="shared" ref="AY79:AZ79" si="85">AY81-AY76</f>
        <v>0</v>
      </c>
      <c r="AZ79" s="309">
        <f t="shared" si="85"/>
        <v>0</v>
      </c>
      <c r="BA79" s="309">
        <f t="shared" ref="BA79:BB79" si="86">BA81-BA76</f>
        <v>0</v>
      </c>
      <c r="BB79" s="309">
        <f t="shared" si="86"/>
        <v>0</v>
      </c>
    </row>
    <row r="80" spans="2:75" ht="14.55" customHeight="1" x14ac:dyDescent="0.3">
      <c r="B80" s="39"/>
      <c r="C80" s="102"/>
      <c r="D80" s="102"/>
      <c r="E80" s="102"/>
      <c r="F80" s="102"/>
      <c r="G80" s="102"/>
      <c r="H80" s="102"/>
      <c r="I80" s="102"/>
      <c r="J80" s="102"/>
      <c r="K80" s="102"/>
      <c r="L80" s="102"/>
      <c r="M80" s="102"/>
      <c r="N80" s="102"/>
      <c r="O80" s="102"/>
      <c r="P80" s="102"/>
      <c r="Q80" s="102"/>
      <c r="R80" s="102"/>
      <c r="S80" s="102"/>
      <c r="T80" s="102"/>
      <c r="U80" s="102"/>
      <c r="V80" s="102"/>
      <c r="W80" s="102"/>
      <c r="X80" s="102"/>
      <c r="Y80" s="102"/>
      <c r="Z80" s="102"/>
      <c r="AA80" s="102"/>
      <c r="AB80" s="102"/>
      <c r="AC80" s="102"/>
      <c r="AD80" s="102"/>
      <c r="AE80" s="103"/>
      <c r="AF80" s="103"/>
      <c r="AG80" s="103"/>
      <c r="AH80" s="103"/>
      <c r="AI80" s="103"/>
      <c r="AJ80" s="103"/>
      <c r="AK80" s="103"/>
      <c r="AL80" s="103"/>
      <c r="AM80" s="103"/>
      <c r="AN80" s="103"/>
      <c r="AO80" s="103"/>
      <c r="AP80" s="103"/>
      <c r="AQ80" s="104"/>
      <c r="AR80" s="104"/>
      <c r="AS80" s="103"/>
      <c r="AT80" s="103"/>
      <c r="AU80" s="103"/>
      <c r="AV80" s="104"/>
      <c r="AW80" s="104"/>
      <c r="AX80" s="104"/>
      <c r="AY80" s="104"/>
      <c r="AZ80" s="104"/>
      <c r="BA80" s="104"/>
      <c r="BB80" s="104"/>
    </row>
    <row r="81" spans="1:72" ht="14.55" customHeight="1" x14ac:dyDescent="0.3">
      <c r="B81" s="61" t="s">
        <v>420</v>
      </c>
      <c r="C81" s="305"/>
      <c r="D81" s="305"/>
      <c r="E81" s="305"/>
      <c r="F81" s="305"/>
      <c r="G81" s="305"/>
      <c r="H81" s="305"/>
      <c r="I81" s="305"/>
      <c r="J81" s="305"/>
      <c r="K81" s="305"/>
      <c r="L81" s="305"/>
      <c r="M81" s="305"/>
      <c r="N81" s="305"/>
      <c r="O81" s="305"/>
      <c r="P81" s="305"/>
      <c r="Q81" s="305"/>
      <c r="R81" s="305"/>
      <c r="S81" s="305"/>
      <c r="T81" s="305"/>
      <c r="U81" s="305"/>
      <c r="V81" s="305"/>
      <c r="W81" s="305"/>
      <c r="X81" s="305"/>
      <c r="Y81" s="305"/>
      <c r="Z81" s="305"/>
      <c r="AA81" s="305"/>
      <c r="AB81" s="305"/>
      <c r="AC81" s="305"/>
      <c r="AD81" s="305"/>
      <c r="AE81" s="306"/>
      <c r="AF81" s="306"/>
      <c r="AG81" s="306"/>
      <c r="AH81" s="306"/>
      <c r="AI81" s="306"/>
      <c r="AJ81" s="306"/>
      <c r="AK81" s="306"/>
      <c r="AL81" s="306"/>
      <c r="AM81" s="306"/>
      <c r="AN81" s="306"/>
      <c r="AO81" s="306"/>
      <c r="AP81" s="306"/>
      <c r="AQ81" s="307"/>
      <c r="AR81" s="307"/>
      <c r="AS81" s="306"/>
      <c r="AT81" s="306"/>
      <c r="AU81" s="308">
        <v>320</v>
      </c>
      <c r="AV81" s="308">
        <v>329</v>
      </c>
      <c r="AW81" s="308">
        <v>344</v>
      </c>
      <c r="AX81" s="308">
        <v>360</v>
      </c>
      <c r="AY81" s="308">
        <v>353</v>
      </c>
      <c r="AZ81" s="308">
        <v>356</v>
      </c>
      <c r="BA81" s="308">
        <v>366</v>
      </c>
      <c r="BB81" s="308">
        <v>321</v>
      </c>
    </row>
    <row r="82" spans="1:72" ht="14.55" customHeight="1" x14ac:dyDescent="0.3">
      <c r="B82" s="39"/>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02"/>
      <c r="AB82" s="102"/>
      <c r="AC82" s="102"/>
      <c r="AD82" s="102"/>
      <c r="AE82" s="103"/>
      <c r="AF82" s="103"/>
      <c r="AG82" s="103"/>
      <c r="AH82" s="103"/>
      <c r="AI82" s="103"/>
      <c r="AJ82" s="103"/>
      <c r="AK82" s="103"/>
      <c r="AL82" s="103"/>
      <c r="AM82" s="103"/>
      <c r="AN82" s="103"/>
      <c r="AO82" s="103"/>
      <c r="AP82" s="103"/>
      <c r="AQ82" s="104"/>
      <c r="AR82" s="104"/>
      <c r="AS82" s="103"/>
      <c r="AT82" s="103"/>
      <c r="AU82" s="103"/>
      <c r="AV82" s="104"/>
      <c r="AW82" s="104"/>
      <c r="AX82" s="104"/>
      <c r="AY82" s="241">
        <f>IFERROR(AY81/AU81-1,"")</f>
        <v>0.10312499999999991</v>
      </c>
      <c r="AZ82" s="241">
        <f>IFERROR(AZ81/AV81-1,"")</f>
        <v>8.2066869300911893E-2</v>
      </c>
      <c r="BA82" s="241">
        <f>IFERROR(BA81/AW81-1,"")</f>
        <v>6.3953488372092915E-2</v>
      </c>
      <c r="BB82" s="241">
        <f>IFERROR(BB81/AX81-1,"")</f>
        <v>-0.10833333333333328</v>
      </c>
    </row>
    <row r="83" spans="1:72" ht="14.55" customHeight="1" x14ac:dyDescent="0.3">
      <c r="B83" s="39" t="s">
        <v>419</v>
      </c>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02"/>
      <c r="AB83" s="102"/>
      <c r="AC83" s="102"/>
      <c r="AD83" s="102"/>
      <c r="AE83" s="103"/>
      <c r="AF83" s="103"/>
      <c r="AG83" s="103"/>
      <c r="AH83" s="103"/>
      <c r="AI83" s="103"/>
      <c r="AJ83" s="103"/>
      <c r="AK83" s="103"/>
      <c r="AL83" s="103"/>
      <c r="AM83" s="103"/>
      <c r="AN83" s="103"/>
      <c r="AO83" s="103"/>
      <c r="AP83" s="103"/>
      <c r="AQ83" s="104"/>
      <c r="AR83" s="104"/>
      <c r="AS83" s="103"/>
      <c r="AT83" s="103"/>
      <c r="AU83" s="103"/>
      <c r="AV83" s="104"/>
      <c r="AW83" s="104"/>
      <c r="AX83" s="104"/>
      <c r="AY83" s="104"/>
      <c r="AZ83" s="104"/>
      <c r="BA83" s="309"/>
      <c r="BB83" s="309"/>
    </row>
    <row r="84" spans="1:72" ht="14.55" customHeight="1" x14ac:dyDescent="0.3">
      <c r="B84" s="42" t="s">
        <v>418</v>
      </c>
      <c r="C84" s="233">
        <v>7.6399999999999996E-2</v>
      </c>
      <c r="D84" s="233">
        <v>7.853333333333333E-2</v>
      </c>
      <c r="E84" s="233">
        <v>6.6799999999999998E-2</v>
      </c>
      <c r="F84" s="233">
        <v>4.3999999999999997E-2</v>
      </c>
      <c r="G84" s="233">
        <v>6.4399999999999999E-2</v>
      </c>
      <c r="H84" s="233">
        <v>7.1866666666666662E-2</v>
      </c>
      <c r="I84" s="233">
        <v>7.6799999999999993E-2</v>
      </c>
      <c r="J84" s="233">
        <v>6.7333333333333328E-2</v>
      </c>
      <c r="K84" s="233">
        <v>6.4266666666666666E-2</v>
      </c>
      <c r="L84" s="233">
        <v>6.5364180618975143E-2</v>
      </c>
      <c r="M84" s="233">
        <v>6.133333333333333E-2</v>
      </c>
      <c r="N84" s="233">
        <v>4.4666666666666667E-2</v>
      </c>
      <c r="O84" s="233">
        <v>6.7466666666666661E-2</v>
      </c>
      <c r="P84" s="233">
        <v>6.773333333333334E-2</v>
      </c>
      <c r="Q84" s="233">
        <v>7.1866666666666662E-2</v>
      </c>
      <c r="R84" s="233">
        <v>6.3866666666666669E-2</v>
      </c>
      <c r="S84" s="233">
        <v>6.2666666666666662E-2</v>
      </c>
      <c r="T84" s="233">
        <v>5.6133333333333334E-2</v>
      </c>
      <c r="U84" s="233">
        <v>6.8533333333333335E-2</v>
      </c>
      <c r="V84" s="233">
        <v>7.2533333333333339E-2</v>
      </c>
      <c r="W84" s="233">
        <v>6.8000000000000005E-2</v>
      </c>
      <c r="X84" s="107">
        <f t="shared" ref="X84:AD84" si="87">X76/7500</f>
        <v>6.4266666666666666E-2</v>
      </c>
      <c r="Y84" s="107">
        <f t="shared" si="87"/>
        <v>7.4800000000000005E-2</v>
      </c>
      <c r="Z84" s="107">
        <f t="shared" si="87"/>
        <v>6.933333333333333E-2</v>
      </c>
      <c r="AA84" s="107">
        <f t="shared" si="87"/>
        <v>6.8000000000000005E-2</v>
      </c>
      <c r="AB84" s="107">
        <f t="shared" si="87"/>
        <v>6.3733333333333336E-2</v>
      </c>
      <c r="AC84" s="107">
        <f t="shared" si="87"/>
        <v>6.9066666666666665E-2</v>
      </c>
      <c r="AD84" s="107">
        <f t="shared" si="87"/>
        <v>3.4533333333333333E-2</v>
      </c>
      <c r="AE84" s="107">
        <f t="shared" ref="AE84:AP84" si="88">AE76/7820</f>
        <v>5.1406649616368288E-2</v>
      </c>
      <c r="AF84" s="107">
        <f t="shared" si="88"/>
        <v>4.9744245524296675E-2</v>
      </c>
      <c r="AG84" s="107">
        <f t="shared" si="88"/>
        <v>4.6035805626598467E-2</v>
      </c>
      <c r="AH84" s="107">
        <f t="shared" si="88"/>
        <v>4.3734015345268544E-2</v>
      </c>
      <c r="AI84" s="107">
        <f t="shared" si="88"/>
        <v>4.5907928388746806E-2</v>
      </c>
      <c r="AJ84" s="107">
        <f t="shared" si="88"/>
        <v>4.3094629156010228E-2</v>
      </c>
      <c r="AK84" s="107">
        <f t="shared" si="88"/>
        <v>4.6419437340153455E-2</v>
      </c>
      <c r="AL84" s="107">
        <f t="shared" si="88"/>
        <v>4.0792838874680305E-2</v>
      </c>
      <c r="AM84" s="107">
        <f t="shared" si="88"/>
        <v>4.271099744245524E-2</v>
      </c>
      <c r="AN84" s="107">
        <f t="shared" si="88"/>
        <v>4.6035805626598467E-2</v>
      </c>
      <c r="AO84" s="107">
        <f t="shared" si="88"/>
        <v>4.1560102301790282E-2</v>
      </c>
      <c r="AP84" s="107">
        <f t="shared" si="88"/>
        <v>3.6956521739130437E-2</v>
      </c>
      <c r="AQ84" s="107">
        <f>AQ76/7826</f>
        <v>3.6928188090978788E-2</v>
      </c>
      <c r="AR84" s="107">
        <f t="shared" ref="AR84:AZ84" si="89">AR76/7820</f>
        <v>4.1176470588235294E-2</v>
      </c>
      <c r="AS84" s="107">
        <f t="shared" si="89"/>
        <v>3.938618925831202E-2</v>
      </c>
      <c r="AT84" s="107">
        <f t="shared" si="89"/>
        <v>2.9667519181585677E-2</v>
      </c>
      <c r="AU84" s="107">
        <f t="shared" si="89"/>
        <v>4.0920716112531973E-2</v>
      </c>
      <c r="AV84" s="107">
        <f t="shared" si="89"/>
        <v>4.2071611253196931E-2</v>
      </c>
      <c r="AW84" s="107">
        <f t="shared" si="89"/>
        <v>3.6700767263427109E-2</v>
      </c>
      <c r="AX84" s="107">
        <f t="shared" si="89"/>
        <v>7.1611253196930949E-3</v>
      </c>
      <c r="AY84" s="107">
        <f t="shared" si="89"/>
        <v>4.514066496163683E-2</v>
      </c>
      <c r="AZ84" s="107">
        <f t="shared" si="89"/>
        <v>4.5524296675191818E-2</v>
      </c>
      <c r="BA84" s="107">
        <f t="shared" ref="BA84:BB84" si="90">BA76/7820</f>
        <v>4.6803069053708443E-2</v>
      </c>
      <c r="BB84" s="107">
        <f t="shared" si="90"/>
        <v>4.1048593350383633E-2</v>
      </c>
    </row>
    <row r="85" spans="1:72" ht="14.55" customHeight="1" x14ac:dyDescent="0.3">
      <c r="B85" s="106" t="s">
        <v>67</v>
      </c>
      <c r="C85" s="107"/>
      <c r="D85" s="107"/>
      <c r="E85" s="105"/>
      <c r="F85" s="105"/>
      <c r="G85" s="233">
        <v>0.08</v>
      </c>
      <c r="H85" s="233">
        <v>0.08</v>
      </c>
      <c r="I85" s="233">
        <v>0.08</v>
      </c>
      <c r="J85" s="233">
        <v>0.15999999999999998</v>
      </c>
      <c r="K85" s="233">
        <v>0.08</v>
      </c>
      <c r="L85" s="233">
        <v>0.08</v>
      </c>
      <c r="M85" s="233">
        <v>8.0000000000000029E-2</v>
      </c>
      <c r="N85" s="233">
        <v>0.16</v>
      </c>
      <c r="O85" s="233">
        <v>0.05</v>
      </c>
      <c r="P85" s="233">
        <v>0.05</v>
      </c>
      <c r="Q85" s="233">
        <v>0.05</v>
      </c>
      <c r="R85" s="233">
        <v>0.05</v>
      </c>
      <c r="S85" s="233">
        <v>0.05</v>
      </c>
      <c r="T85" s="233">
        <v>0.05</v>
      </c>
      <c r="U85" s="233">
        <v>0.05</v>
      </c>
      <c r="V85" s="233">
        <v>0.05</v>
      </c>
      <c r="W85" s="233">
        <v>0.05</v>
      </c>
      <c r="X85" s="233">
        <v>0.05</v>
      </c>
      <c r="Y85" s="233">
        <v>0.05</v>
      </c>
      <c r="Z85" s="233">
        <v>0.05</v>
      </c>
      <c r="AA85" s="233">
        <v>0.05</v>
      </c>
      <c r="AB85" s="233">
        <v>0.05</v>
      </c>
      <c r="AC85" s="233">
        <v>0.05</v>
      </c>
      <c r="AD85" s="233">
        <v>0.05</v>
      </c>
      <c r="AE85" s="233">
        <v>0.05</v>
      </c>
      <c r="AF85" s="233">
        <v>0.05</v>
      </c>
      <c r="AG85" s="233">
        <v>0.05</v>
      </c>
      <c r="AH85" s="233">
        <v>0.05</v>
      </c>
      <c r="AI85" s="233">
        <v>0.04</v>
      </c>
      <c r="AJ85" s="233">
        <v>0.04</v>
      </c>
      <c r="AK85" s="233">
        <v>0.04</v>
      </c>
      <c r="AL85" s="233">
        <f>0.04+0.01</f>
        <v>0.05</v>
      </c>
      <c r="AM85" s="233">
        <f>0.04</f>
        <v>0.04</v>
      </c>
      <c r="AN85" s="233">
        <f>0.04</f>
        <v>0.04</v>
      </c>
      <c r="AO85" s="233">
        <f>0.04</f>
        <v>0.04</v>
      </c>
      <c r="AP85" s="233">
        <v>0.05</v>
      </c>
      <c r="AQ85" s="233">
        <f>0.04+0.01</f>
        <v>0.05</v>
      </c>
      <c r="AR85" s="233">
        <v>0.05</v>
      </c>
      <c r="AS85" s="233">
        <v>0.05</v>
      </c>
      <c r="AT85" s="233">
        <v>0.05</v>
      </c>
      <c r="AU85" s="233">
        <v>0.04</v>
      </c>
      <c r="AV85" s="233">
        <v>0.04</v>
      </c>
      <c r="AW85" s="233">
        <v>0.04</v>
      </c>
      <c r="AX85" s="233">
        <v>0.04</v>
      </c>
      <c r="AY85" s="233">
        <v>0.04</v>
      </c>
      <c r="AZ85" s="233">
        <v>0.04</v>
      </c>
      <c r="BA85" s="233">
        <v>0.04</v>
      </c>
      <c r="BB85" s="233">
        <v>0.05</v>
      </c>
    </row>
    <row r="86" spans="1:72" ht="14.55" customHeight="1" x14ac:dyDescent="0.3">
      <c r="B86" s="106" t="s">
        <v>407</v>
      </c>
      <c r="C86" s="109"/>
      <c r="D86" s="109"/>
      <c r="E86" s="109"/>
      <c r="F86" s="109"/>
      <c r="G86" s="109"/>
      <c r="H86" s="109"/>
      <c r="I86" s="109"/>
      <c r="J86" s="109"/>
      <c r="K86" s="109"/>
      <c r="L86" s="109"/>
      <c r="M86" s="109"/>
      <c r="N86" s="109"/>
      <c r="O86" s="109"/>
      <c r="P86" s="109"/>
      <c r="Q86" s="109"/>
      <c r="R86" s="109"/>
      <c r="S86" s="109"/>
      <c r="T86" s="109"/>
      <c r="U86" s="109"/>
      <c r="V86" s="110"/>
      <c r="W86" s="110"/>
      <c r="X86" s="110"/>
      <c r="Y86" s="110"/>
      <c r="Z86" s="110"/>
      <c r="AA86" s="110"/>
      <c r="AB86" s="110"/>
      <c r="AC86" s="110"/>
      <c r="AD86" s="110"/>
      <c r="AE86" s="303"/>
      <c r="AF86" s="303"/>
      <c r="AG86" s="303"/>
      <c r="AH86" s="303"/>
      <c r="AI86" s="303"/>
      <c r="AJ86" s="303"/>
      <c r="AK86" s="303"/>
      <c r="AL86" s="303"/>
      <c r="AM86" s="303"/>
      <c r="AN86" s="303"/>
      <c r="AO86" s="303"/>
      <c r="AP86" s="303">
        <f>AP85/AP84</f>
        <v>1.3529411764705883</v>
      </c>
      <c r="AQ86" s="303">
        <f t="shared" ref="AQ86:AS86" si="91">AQ85/AQ84</f>
        <v>1.3539792387543255</v>
      </c>
      <c r="AR86" s="303">
        <f t="shared" si="91"/>
        <v>1.2142857142857144</v>
      </c>
      <c r="AS86" s="303">
        <f t="shared" si="91"/>
        <v>1.2694805194805197</v>
      </c>
      <c r="AT86" s="303">
        <f>AT85/AT84</f>
        <v>1.6853448275862071</v>
      </c>
      <c r="AU86" s="303">
        <f>313/AU76</f>
        <v>0.97812500000000002</v>
      </c>
      <c r="AV86" s="303">
        <f t="shared" ref="AV86:AW86" si="92">AV85/AV84</f>
        <v>0.95075987841945286</v>
      </c>
      <c r="AW86" s="303">
        <f t="shared" si="92"/>
        <v>1.0898954703832753</v>
      </c>
      <c r="AX86" s="303">
        <f t="shared" ref="AX86:AY86" si="93">AX85/AX84</f>
        <v>5.5857142857142854</v>
      </c>
      <c r="AY86" s="303">
        <f t="shared" si="93"/>
        <v>0.8861189801699717</v>
      </c>
      <c r="AZ86" s="303">
        <f t="shared" ref="AZ86:BA86" si="94">AZ85/AZ84</f>
        <v>0.87865168539325844</v>
      </c>
      <c r="BA86" s="303">
        <f t="shared" si="94"/>
        <v>0.85464480874316939</v>
      </c>
      <c r="BB86" s="303">
        <f t="shared" ref="BB86" si="95">BB85/BB84</f>
        <v>1.2180685358255452</v>
      </c>
    </row>
    <row r="87" spans="1:72" ht="14.55" customHeight="1" x14ac:dyDescent="0.3">
      <c r="B87" s="108"/>
      <c r="C87" s="109"/>
      <c r="D87" s="109"/>
      <c r="E87" s="109"/>
      <c r="F87" s="109"/>
      <c r="G87" s="109"/>
      <c r="H87" s="109"/>
      <c r="I87" s="109"/>
      <c r="J87" s="109"/>
      <c r="K87" s="109"/>
      <c r="L87" s="109"/>
      <c r="M87" s="109"/>
      <c r="N87" s="109"/>
      <c r="O87" s="109"/>
      <c r="P87" s="109"/>
      <c r="Q87" s="109"/>
      <c r="R87" s="109"/>
      <c r="S87" s="109"/>
      <c r="T87" s="109"/>
      <c r="U87" s="109"/>
      <c r="V87" s="110"/>
      <c r="W87" s="110"/>
      <c r="X87" s="110"/>
      <c r="Y87" s="110"/>
      <c r="Z87" s="110"/>
      <c r="AA87" s="110"/>
      <c r="AB87" s="110"/>
      <c r="AC87" s="110"/>
      <c r="AD87" s="110"/>
      <c r="AE87" s="110"/>
      <c r="AF87" s="110"/>
      <c r="AG87" s="110"/>
      <c r="AH87" s="110"/>
      <c r="AI87" s="110"/>
      <c r="AJ87" s="110"/>
      <c r="AK87" s="110"/>
      <c r="AL87" s="110"/>
      <c r="AM87" s="110"/>
      <c r="AN87" s="110"/>
      <c r="AO87" s="110"/>
      <c r="AP87" s="110"/>
      <c r="AQ87" s="110"/>
      <c r="AR87" s="110"/>
      <c r="AS87" s="110"/>
      <c r="AT87" s="110"/>
      <c r="AU87" s="110"/>
      <c r="AV87" s="110"/>
      <c r="AW87" s="110"/>
      <c r="AX87" s="110"/>
      <c r="AY87" s="110"/>
      <c r="AZ87" s="110"/>
      <c r="BA87" s="110"/>
      <c r="BB87" s="110"/>
    </row>
    <row r="88" spans="1:72" s="113" customFormat="1" ht="14.55" customHeight="1" x14ac:dyDescent="0.3">
      <c r="A88" s="111" t="s">
        <v>19</v>
      </c>
      <c r="B88" s="111"/>
      <c r="C88" s="112" t="str">
        <f t="shared" ref="C88:O88" si="96">C1</f>
        <v>1Q12</v>
      </c>
      <c r="D88" s="112" t="str">
        <f t="shared" si="96"/>
        <v>2Q12</v>
      </c>
      <c r="E88" s="112" t="str">
        <f t="shared" si="96"/>
        <v>3Q12</v>
      </c>
      <c r="F88" s="112" t="str">
        <f t="shared" si="96"/>
        <v>4Q12</v>
      </c>
      <c r="G88" s="112" t="str">
        <f t="shared" si="96"/>
        <v>1Q13</v>
      </c>
      <c r="H88" s="112" t="str">
        <f t="shared" si="96"/>
        <v>2Q13</v>
      </c>
      <c r="I88" s="112" t="str">
        <f t="shared" si="96"/>
        <v>3Q13</v>
      </c>
      <c r="J88" s="112" t="str">
        <f t="shared" si="96"/>
        <v>4Q13</v>
      </c>
      <c r="K88" s="112" t="str">
        <f t="shared" si="96"/>
        <v>1Q14</v>
      </c>
      <c r="L88" s="112" t="str">
        <f t="shared" si="96"/>
        <v>2Q14</v>
      </c>
      <c r="M88" s="112" t="str">
        <f t="shared" si="96"/>
        <v>3Q14</v>
      </c>
      <c r="N88" s="112" t="str">
        <f t="shared" si="96"/>
        <v>4Q14</v>
      </c>
      <c r="O88" s="112" t="str">
        <f t="shared" si="96"/>
        <v>1Q15</v>
      </c>
      <c r="P88" s="112" t="s">
        <v>2</v>
      </c>
      <c r="Q88" s="112" t="s">
        <v>0</v>
      </c>
      <c r="R88" s="112" t="s">
        <v>1</v>
      </c>
      <c r="S88" s="112" t="s">
        <v>2</v>
      </c>
      <c r="T88" s="112" t="s">
        <v>3</v>
      </c>
      <c r="U88" s="112" t="s">
        <v>4</v>
      </c>
      <c r="V88" s="112" t="s">
        <v>5</v>
      </c>
      <c r="W88" s="112" t="s">
        <v>6</v>
      </c>
      <c r="X88" s="112" t="s">
        <v>9</v>
      </c>
      <c r="Y88" s="112" t="str">
        <f t="shared" ref="Y88:AZ88" si="97">Y1</f>
        <v>3Q17</v>
      </c>
      <c r="Z88" s="112" t="str">
        <f t="shared" si="97"/>
        <v>4Q17</v>
      </c>
      <c r="AA88" s="112" t="str">
        <f t="shared" si="97"/>
        <v>1Q18</v>
      </c>
      <c r="AB88" s="112" t="str">
        <f t="shared" si="97"/>
        <v>2Q18</v>
      </c>
      <c r="AC88" s="112" t="str">
        <f t="shared" si="97"/>
        <v>3Q18</v>
      </c>
      <c r="AD88" s="112" t="str">
        <f t="shared" si="97"/>
        <v>4Q18</v>
      </c>
      <c r="AE88" s="112" t="str">
        <f t="shared" si="97"/>
        <v>1Q19</v>
      </c>
      <c r="AF88" s="112" t="str">
        <f t="shared" si="97"/>
        <v>2Q19</v>
      </c>
      <c r="AG88" s="112" t="str">
        <f t="shared" si="97"/>
        <v>3Q19</v>
      </c>
      <c r="AH88" s="112" t="str">
        <f t="shared" si="97"/>
        <v>4Q19</v>
      </c>
      <c r="AI88" s="112" t="str">
        <f t="shared" si="97"/>
        <v>1Q20</v>
      </c>
      <c r="AJ88" s="112" t="str">
        <f t="shared" si="97"/>
        <v>2Q20</v>
      </c>
      <c r="AK88" s="112" t="str">
        <f t="shared" si="97"/>
        <v>3Q20</v>
      </c>
      <c r="AL88" s="112" t="str">
        <f t="shared" si="97"/>
        <v>4Q20</v>
      </c>
      <c r="AM88" s="112" t="str">
        <f t="shared" si="97"/>
        <v>1Q21</v>
      </c>
      <c r="AN88" s="112" t="str">
        <f t="shared" si="97"/>
        <v>2Q21</v>
      </c>
      <c r="AO88" s="112" t="str">
        <f t="shared" si="97"/>
        <v>3Q21</v>
      </c>
      <c r="AP88" s="112" t="str">
        <f t="shared" si="97"/>
        <v>4Q21</v>
      </c>
      <c r="AQ88" s="112" t="str">
        <f t="shared" si="97"/>
        <v>1Q22</v>
      </c>
      <c r="AR88" s="112" t="str">
        <f t="shared" si="97"/>
        <v>2Q22</v>
      </c>
      <c r="AS88" s="112" t="str">
        <f t="shared" si="97"/>
        <v>3Q22</v>
      </c>
      <c r="AT88" s="112" t="str">
        <f t="shared" si="97"/>
        <v>4Q22</v>
      </c>
      <c r="AU88" s="112" t="str">
        <f t="shared" si="97"/>
        <v>1Q23</v>
      </c>
      <c r="AV88" s="112" t="str">
        <f t="shared" si="97"/>
        <v>2Q23</v>
      </c>
      <c r="AW88" s="112" t="str">
        <f t="shared" si="97"/>
        <v>3Q23</v>
      </c>
      <c r="AX88" s="112" t="str">
        <f t="shared" si="97"/>
        <v>4Q23</v>
      </c>
      <c r="AY88" s="112" t="str">
        <f t="shared" si="97"/>
        <v>1Q24</v>
      </c>
      <c r="AZ88" s="112" t="str">
        <f t="shared" si="97"/>
        <v>2Q24</v>
      </c>
      <c r="BA88" s="112" t="str">
        <f t="shared" ref="BA88:BB88" si="98">BA1</f>
        <v>3Q24</v>
      </c>
      <c r="BB88" s="112" t="str">
        <f t="shared" si="98"/>
        <v>4Q24</v>
      </c>
      <c r="BC88" s="111"/>
      <c r="BD88" s="111"/>
      <c r="BE88"/>
      <c r="BF88"/>
      <c r="BG88"/>
      <c r="BH88"/>
      <c r="BI88"/>
      <c r="BJ88"/>
      <c r="BK88"/>
      <c r="BL88"/>
      <c r="BM88"/>
      <c r="BN88"/>
      <c r="BO88"/>
      <c r="BP88"/>
      <c r="BQ88"/>
      <c r="BR88"/>
      <c r="BS88"/>
      <c r="BT88"/>
    </row>
    <row r="89" spans="1:72" s="113" customFormat="1" ht="14.55" customHeight="1" x14ac:dyDescent="0.3">
      <c r="A89" s="111" t="s">
        <v>8</v>
      </c>
      <c r="B89" s="111"/>
      <c r="C89" s="112"/>
      <c r="D89" s="112"/>
      <c r="E89" s="112"/>
      <c r="F89" s="112"/>
      <c r="G89" s="112"/>
      <c r="H89" s="112"/>
      <c r="I89" s="112"/>
      <c r="J89" s="112"/>
      <c r="K89" s="112"/>
      <c r="L89" s="112"/>
      <c r="M89" s="112"/>
      <c r="N89" s="112"/>
      <c r="O89" s="112"/>
      <c r="P89" s="112"/>
      <c r="Q89" s="112"/>
      <c r="R89" s="112"/>
      <c r="S89" s="112"/>
      <c r="T89" s="112"/>
      <c r="U89" s="112"/>
      <c r="V89" s="112"/>
      <c r="W89" s="112"/>
      <c r="X89" s="112"/>
      <c r="Y89" s="112"/>
      <c r="Z89" s="112"/>
      <c r="AA89" s="112"/>
      <c r="AB89" s="112"/>
      <c r="AC89" s="112"/>
      <c r="AD89" s="112"/>
      <c r="AE89" s="114"/>
      <c r="AF89" s="114"/>
      <c r="AG89" s="114"/>
      <c r="AH89" s="114"/>
      <c r="AI89" s="114"/>
      <c r="AJ89" s="114"/>
      <c r="AK89" s="114"/>
      <c r="AL89" s="114"/>
      <c r="AM89" s="114"/>
      <c r="AN89" s="114"/>
      <c r="AO89" s="114"/>
      <c r="AP89" s="114"/>
      <c r="AQ89" s="114"/>
      <c r="AR89" s="114"/>
      <c r="AS89" s="114"/>
      <c r="AT89" s="114"/>
      <c r="AU89" s="114"/>
      <c r="AV89" s="114"/>
      <c r="AW89" s="114"/>
      <c r="AX89" s="114"/>
      <c r="AY89" s="114"/>
      <c r="AZ89" s="114"/>
      <c r="BA89" s="114"/>
      <c r="BB89" s="114"/>
      <c r="BC89" s="111"/>
      <c r="BD89" s="111"/>
      <c r="BE89"/>
      <c r="BF89"/>
      <c r="BG89"/>
      <c r="BH89"/>
      <c r="BI89"/>
      <c r="BJ89"/>
      <c r="BK89"/>
      <c r="BL89"/>
      <c r="BM89"/>
      <c r="BN89"/>
      <c r="BO89"/>
      <c r="BP89"/>
      <c r="BQ89"/>
      <c r="BR89"/>
      <c r="BS89"/>
      <c r="BT89"/>
    </row>
    <row r="90" spans="1:72" ht="14.55" customHeight="1" x14ac:dyDescent="0.3">
      <c r="C90" s="47"/>
      <c r="D90" s="47"/>
      <c r="E90" s="47"/>
      <c r="F90" s="47"/>
      <c r="G90" s="47"/>
      <c r="H90" s="47"/>
      <c r="I90" s="47"/>
      <c r="J90" s="47"/>
      <c r="K90" s="47"/>
      <c r="L90" s="47"/>
      <c r="M90" s="47"/>
      <c r="N90" s="47"/>
      <c r="O90" s="47"/>
      <c r="P90" s="47"/>
      <c r="Q90" s="47"/>
      <c r="R90" s="47"/>
      <c r="S90" s="47"/>
      <c r="T90" s="47"/>
      <c r="U90" s="47"/>
      <c r="V90" s="47"/>
      <c r="W90" s="47"/>
      <c r="X90" s="47"/>
      <c r="Y90" s="47"/>
      <c r="Z90" s="47"/>
      <c r="AA90" s="47"/>
      <c r="AB90" s="47"/>
      <c r="AC90" s="47"/>
      <c r="AD90" s="47"/>
      <c r="AE90" s="115"/>
      <c r="AF90" s="115"/>
      <c r="AG90" s="115"/>
      <c r="AH90" s="115"/>
      <c r="AI90" s="115"/>
      <c r="AJ90" s="115"/>
      <c r="AK90" s="115"/>
      <c r="AL90" s="115"/>
      <c r="AM90" s="115"/>
      <c r="AN90" s="115"/>
      <c r="AO90" s="115"/>
      <c r="AP90" s="115"/>
      <c r="AQ90" s="115"/>
      <c r="AR90" s="115"/>
      <c r="AS90" s="115"/>
      <c r="AT90" s="115"/>
      <c r="AU90" s="115"/>
      <c r="AV90" s="115"/>
      <c r="AW90" s="115"/>
      <c r="AX90" s="115"/>
      <c r="AY90" s="115"/>
      <c r="AZ90" s="115"/>
      <c r="BA90" s="115"/>
      <c r="BB90" s="115"/>
    </row>
    <row r="91" spans="1:72" ht="14.55" customHeight="1" x14ac:dyDescent="0.3">
      <c r="B91" s="37" t="s">
        <v>358</v>
      </c>
      <c r="C91" s="47"/>
      <c r="D91" s="47"/>
      <c r="E91" s="47"/>
      <c r="F91" s="47"/>
      <c r="G91" s="47"/>
      <c r="H91" s="47"/>
      <c r="I91" s="47"/>
      <c r="J91" s="47"/>
      <c r="K91" s="47"/>
      <c r="L91" s="47"/>
      <c r="M91" s="47"/>
      <c r="N91" s="47"/>
      <c r="O91" s="47"/>
      <c r="P91" s="47"/>
      <c r="Q91" s="47"/>
      <c r="R91" s="47"/>
      <c r="S91" s="47"/>
      <c r="T91" s="47"/>
      <c r="U91" s="47"/>
      <c r="V91" s="47"/>
      <c r="W91" s="47"/>
      <c r="X91" s="47"/>
      <c r="Y91" s="47"/>
      <c r="Z91" s="47"/>
      <c r="AA91" s="47"/>
      <c r="AB91" s="47"/>
      <c r="AC91" s="47"/>
      <c r="AD91" s="47"/>
      <c r="AE91" s="115"/>
      <c r="AF91" s="115"/>
      <c r="AG91" s="115"/>
      <c r="AH91" s="115"/>
      <c r="AI91" s="115"/>
      <c r="AJ91" s="115"/>
      <c r="AK91" s="115"/>
      <c r="AL91" s="115"/>
      <c r="AM91" s="115"/>
      <c r="AN91" s="115"/>
      <c r="AO91" s="115"/>
      <c r="AP91" s="115"/>
      <c r="AQ91" s="115"/>
      <c r="AR91" s="115"/>
      <c r="AS91" s="115"/>
      <c r="AT91" s="115"/>
      <c r="AU91" s="115"/>
      <c r="AV91" s="115"/>
      <c r="AW91" s="115"/>
      <c r="AX91" s="115"/>
      <c r="AY91" s="115"/>
      <c r="AZ91" s="115"/>
      <c r="BA91" s="115"/>
      <c r="BB91" s="115"/>
    </row>
    <row r="92" spans="1:72" ht="14.55" customHeight="1" x14ac:dyDescent="0.3">
      <c r="B92" s="42" t="s">
        <v>366</v>
      </c>
      <c r="C92" s="47"/>
      <c r="D92" s="47"/>
      <c r="E92" s="47"/>
      <c r="F92" s="47"/>
      <c r="G92" s="47"/>
      <c r="H92" s="47"/>
      <c r="I92" s="47"/>
      <c r="J92" s="47"/>
      <c r="K92" s="47"/>
      <c r="L92" s="47"/>
      <c r="M92" s="47"/>
      <c r="N92" s="47"/>
      <c r="O92" s="47"/>
      <c r="P92" s="47"/>
      <c r="Q92" s="47"/>
      <c r="R92" s="47"/>
      <c r="S92" s="47"/>
      <c r="T92" s="47"/>
      <c r="U92" s="47"/>
      <c r="V92" s="47"/>
      <c r="W92" s="47"/>
      <c r="X92" s="47"/>
      <c r="Y92" s="47"/>
      <c r="Z92" s="47"/>
      <c r="AA92" s="47"/>
      <c r="AB92" s="47"/>
      <c r="AC92" s="47"/>
      <c r="AD92" s="47"/>
      <c r="AE92" s="115"/>
      <c r="AF92" s="115"/>
      <c r="AG92" s="115"/>
      <c r="AH92" s="115"/>
      <c r="AI92" s="115"/>
      <c r="AJ92" s="115"/>
      <c r="AK92" s="115"/>
      <c r="AL92" s="115"/>
      <c r="AM92" s="115"/>
      <c r="AN92" s="115"/>
      <c r="AO92" s="115"/>
      <c r="AP92" s="116"/>
      <c r="AQ92" s="116">
        <f t="shared" ref="AQ92:BB93" si="99">AQ36/AM36-1</f>
        <v>6.8788501026693982E-2</v>
      </c>
      <c r="AR92" s="116">
        <f t="shared" si="99"/>
        <v>6.6866267465069962E-2</v>
      </c>
      <c r="AS92" s="116">
        <f t="shared" si="99"/>
        <v>6.0194174757281615E-2</v>
      </c>
      <c r="AT92" s="116">
        <f t="shared" si="99"/>
        <v>9.1265947006869519E-2</v>
      </c>
      <c r="AU92" s="116">
        <f t="shared" si="99"/>
        <v>7.8770413064361167E-2</v>
      </c>
      <c r="AV92" s="116">
        <f t="shared" si="99"/>
        <v>5.5191768007483599E-2</v>
      </c>
      <c r="AW92" s="116">
        <f t="shared" si="99"/>
        <v>5.6776556776556797E-2</v>
      </c>
      <c r="AX92" s="116">
        <f t="shared" si="99"/>
        <v>6.6546762589928088E-2</v>
      </c>
      <c r="AY92" s="116">
        <f t="shared" si="99"/>
        <v>5.966162065894931E-2</v>
      </c>
      <c r="AZ92" s="116">
        <f t="shared" si="99"/>
        <v>6.4716312056737557E-2</v>
      </c>
      <c r="BA92" s="116">
        <f t="shared" si="99"/>
        <v>5.0259965337954959E-2</v>
      </c>
      <c r="BB92" s="116">
        <f t="shared" si="99"/>
        <v>4.5531197301855064E-2</v>
      </c>
    </row>
    <row r="93" spans="1:72" ht="14.55" customHeight="1" x14ac:dyDescent="0.3">
      <c r="B93" s="42" t="s">
        <v>367</v>
      </c>
      <c r="C93" s="47"/>
      <c r="D93" s="47"/>
      <c r="E93" s="47"/>
      <c r="F93" s="47"/>
      <c r="G93" s="47"/>
      <c r="H93" s="47"/>
      <c r="I93" s="47"/>
      <c r="J93" s="47"/>
      <c r="K93" s="47"/>
      <c r="L93" s="47"/>
      <c r="M93" s="47"/>
      <c r="N93" s="47"/>
      <c r="O93" s="47"/>
      <c r="P93" s="47"/>
      <c r="Q93" s="47"/>
      <c r="R93" s="47"/>
      <c r="S93" s="47"/>
      <c r="T93" s="47"/>
      <c r="U93" s="47"/>
      <c r="V93" s="47"/>
      <c r="W93" s="47"/>
      <c r="X93" s="47"/>
      <c r="Y93" s="47"/>
      <c r="Z93" s="47"/>
      <c r="AA93" s="47"/>
      <c r="AB93" s="47"/>
      <c r="AC93" s="47"/>
      <c r="AD93" s="47"/>
      <c r="AE93" s="115"/>
      <c r="AF93" s="115"/>
      <c r="AG93" s="115"/>
      <c r="AH93" s="115"/>
      <c r="AI93" s="115"/>
      <c r="AJ93" s="115"/>
      <c r="AK93" s="115"/>
      <c r="AL93" s="115"/>
      <c r="AM93" s="115"/>
      <c r="AN93" s="115"/>
      <c r="AO93" s="115"/>
      <c r="AP93" s="116"/>
      <c r="AQ93" s="116">
        <f t="shared" si="99"/>
        <v>-4.7826086956521685E-2</v>
      </c>
      <c r="AR93" s="116">
        <f t="shared" si="99"/>
        <v>-8.7591240875912746E-3</v>
      </c>
      <c r="AS93" s="116">
        <f t="shared" si="99"/>
        <v>-1.3138686131386912E-2</v>
      </c>
      <c r="AT93" s="116">
        <f t="shared" si="99"/>
        <v>3.969465648854964E-2</v>
      </c>
      <c r="AU93" s="116">
        <f t="shared" si="99"/>
        <v>6.0882800608828003E-3</v>
      </c>
      <c r="AV93" s="116">
        <f t="shared" si="99"/>
        <v>-4.123711340206182E-2</v>
      </c>
      <c r="AW93" s="116">
        <f t="shared" si="99"/>
        <v>-3.5502958579881616E-2</v>
      </c>
      <c r="AX93" s="116">
        <f t="shared" si="99"/>
        <v>-3.8179148311306865E-2</v>
      </c>
      <c r="AY93" s="116">
        <f t="shared" si="99"/>
        <v>-1.8154311649016597E-2</v>
      </c>
      <c r="AZ93" s="116">
        <f t="shared" si="99"/>
        <v>-4.6082949308755561E-3</v>
      </c>
      <c r="BA93" s="116">
        <f t="shared" si="99"/>
        <v>-1.6871165644171793E-2</v>
      </c>
      <c r="BB93" s="116">
        <f t="shared" si="99"/>
        <v>-4.2748091603053484E-2</v>
      </c>
    </row>
    <row r="94" spans="1:72" ht="14.55" customHeight="1" thickBot="1" x14ac:dyDescent="0.35">
      <c r="B94" s="38" t="s">
        <v>197</v>
      </c>
      <c r="C94" s="118">
        <f t="shared" ref="C94:AC94" si="100">C10</f>
        <v>2036</v>
      </c>
      <c r="D94" s="118">
        <f t="shared" si="100"/>
        <v>2081</v>
      </c>
      <c r="E94" s="118">
        <f t="shared" si="100"/>
        <v>2066</v>
      </c>
      <c r="F94" s="118">
        <f t="shared" si="100"/>
        <v>2111</v>
      </c>
      <c r="G94" s="118">
        <f t="shared" si="100"/>
        <v>2066</v>
      </c>
      <c r="H94" s="118">
        <f t="shared" si="100"/>
        <v>2063</v>
      </c>
      <c r="I94" s="118">
        <f t="shared" si="100"/>
        <v>2051</v>
      </c>
      <c r="J94" s="118">
        <f t="shared" si="100"/>
        <v>2024</v>
      </c>
      <c r="K94" s="118">
        <f t="shared" si="100"/>
        <v>1953</v>
      </c>
      <c r="L94" s="118">
        <f t="shared" si="100"/>
        <v>1955</v>
      </c>
      <c r="M94" s="118">
        <f t="shared" si="100"/>
        <v>1946</v>
      </c>
      <c r="N94" s="118">
        <f t="shared" si="100"/>
        <v>1988</v>
      </c>
      <c r="O94" s="118">
        <f t="shared" si="100"/>
        <v>2019</v>
      </c>
      <c r="P94" s="118">
        <f t="shared" si="100"/>
        <v>1984</v>
      </c>
      <c r="Q94" s="118">
        <f t="shared" si="100"/>
        <v>2046</v>
      </c>
      <c r="R94" s="118">
        <f t="shared" si="100"/>
        <v>2047</v>
      </c>
      <c r="S94" s="118">
        <f t="shared" si="100"/>
        <v>2005</v>
      </c>
      <c r="T94" s="118">
        <f t="shared" si="100"/>
        <v>1934</v>
      </c>
      <c r="U94" s="118">
        <f t="shared" si="100"/>
        <v>1982</v>
      </c>
      <c r="V94" s="118">
        <f t="shared" si="100"/>
        <v>2028</v>
      </c>
      <c r="W94" s="118">
        <f t="shared" si="100"/>
        <v>1942</v>
      </c>
      <c r="X94" s="118">
        <f t="shared" si="100"/>
        <v>1928</v>
      </c>
      <c r="Y94" s="118">
        <f t="shared" si="100"/>
        <v>1944</v>
      </c>
      <c r="Z94" s="118">
        <f t="shared" si="100"/>
        <v>1897</v>
      </c>
      <c r="AA94" s="118">
        <f t="shared" si="100"/>
        <v>1834</v>
      </c>
      <c r="AB94" s="118">
        <f t="shared" si="100"/>
        <v>1863</v>
      </c>
      <c r="AC94" s="118">
        <f t="shared" si="100"/>
        <v>1876</v>
      </c>
      <c r="AD94" s="133">
        <v>1898</v>
      </c>
      <c r="AE94" s="118">
        <f t="shared" ref="AE94:AZ94" si="101">AE10</f>
        <v>1797</v>
      </c>
      <c r="AF94" s="118">
        <f t="shared" si="101"/>
        <v>1763</v>
      </c>
      <c r="AG94" s="118">
        <f t="shared" si="101"/>
        <v>1773</v>
      </c>
      <c r="AH94" s="118">
        <f t="shared" si="101"/>
        <v>1772</v>
      </c>
      <c r="AI94" s="118">
        <f t="shared" si="101"/>
        <v>1698</v>
      </c>
      <c r="AJ94" s="118">
        <f t="shared" si="101"/>
        <v>1660</v>
      </c>
      <c r="AK94" s="118">
        <f t="shared" si="101"/>
        <v>1673</v>
      </c>
      <c r="AL94" s="118">
        <f t="shared" si="101"/>
        <v>1663</v>
      </c>
      <c r="AM94" s="118">
        <f t="shared" si="101"/>
        <v>1664</v>
      </c>
      <c r="AN94" s="118">
        <f t="shared" si="101"/>
        <v>1687</v>
      </c>
      <c r="AO94" s="118">
        <f t="shared" si="101"/>
        <v>1715</v>
      </c>
      <c r="AP94" s="118">
        <f t="shared" si="101"/>
        <v>1674</v>
      </c>
      <c r="AQ94" s="118">
        <f t="shared" si="101"/>
        <v>1698</v>
      </c>
      <c r="AR94" s="118">
        <f t="shared" si="101"/>
        <v>1748</v>
      </c>
      <c r="AS94" s="118">
        <f t="shared" si="101"/>
        <v>1768</v>
      </c>
      <c r="AT94" s="118">
        <f t="shared" si="101"/>
        <v>1793</v>
      </c>
      <c r="AU94" s="118">
        <f t="shared" si="101"/>
        <v>1784</v>
      </c>
      <c r="AV94" s="118">
        <f t="shared" si="101"/>
        <v>1779</v>
      </c>
      <c r="AW94" s="118">
        <f t="shared" si="101"/>
        <v>1806</v>
      </c>
      <c r="AX94" s="118">
        <f t="shared" si="101"/>
        <v>1841</v>
      </c>
      <c r="AY94" s="118">
        <f t="shared" si="101"/>
        <v>1839</v>
      </c>
      <c r="AZ94" s="118">
        <f t="shared" si="101"/>
        <v>1849</v>
      </c>
      <c r="BA94" s="118">
        <f t="shared" ref="BA94:BB94" si="102">BA10</f>
        <v>1853</v>
      </c>
      <c r="BB94" s="118">
        <f t="shared" si="102"/>
        <v>1867</v>
      </c>
    </row>
    <row r="95" spans="1:72" ht="14.55" customHeight="1" thickBot="1" x14ac:dyDescent="0.35">
      <c r="B95" s="37" t="s">
        <v>198</v>
      </c>
      <c r="C95" s="119"/>
      <c r="D95" s="119"/>
      <c r="E95" s="119"/>
      <c r="F95" s="119"/>
      <c r="G95" s="234">
        <f>G94/C94-1</f>
        <v>1.4734774066797574E-2</v>
      </c>
      <c r="H95" s="234">
        <f t="shared" ref="H95:Z95" si="103">H94/D94-1</f>
        <v>-8.6496876501681585E-3</v>
      </c>
      <c r="I95" s="234">
        <f t="shared" si="103"/>
        <v>-7.2604065827686082E-3</v>
      </c>
      <c r="J95" s="234">
        <f t="shared" si="103"/>
        <v>-4.1212695405021371E-2</v>
      </c>
      <c r="K95" s="234">
        <f t="shared" si="103"/>
        <v>-5.4695062923523663E-2</v>
      </c>
      <c r="L95" s="234">
        <f t="shared" si="103"/>
        <v>-5.2350945225399848E-2</v>
      </c>
      <c r="M95" s="234">
        <f t="shared" si="103"/>
        <v>-5.1194539249146742E-2</v>
      </c>
      <c r="N95" s="234">
        <f t="shared" si="103"/>
        <v>-1.7786561264822143E-2</v>
      </c>
      <c r="O95" s="234">
        <f t="shared" si="103"/>
        <v>3.3794162826420893E-2</v>
      </c>
      <c r="P95" s="234">
        <f t="shared" si="103"/>
        <v>1.4833759590792805E-2</v>
      </c>
      <c r="Q95" s="234">
        <f t="shared" si="103"/>
        <v>5.1387461459403871E-2</v>
      </c>
      <c r="R95" s="234">
        <f t="shared" si="103"/>
        <v>2.9678068410462721E-2</v>
      </c>
      <c r="S95" s="235">
        <f t="shared" si="103"/>
        <v>-6.9341258048538634E-3</v>
      </c>
      <c r="T95" s="235">
        <f t="shared" si="103"/>
        <v>-2.5201612903225756E-2</v>
      </c>
      <c r="U95" s="235">
        <f t="shared" si="103"/>
        <v>-3.128054740957964E-2</v>
      </c>
      <c r="V95" s="236">
        <f t="shared" si="103"/>
        <v>-9.2818759159746245E-3</v>
      </c>
      <c r="W95" s="121">
        <f t="shared" si="103"/>
        <v>-3.1421446384039875E-2</v>
      </c>
      <c r="X95" s="121">
        <f t="shared" si="103"/>
        <v>-3.1023784901758056E-3</v>
      </c>
      <c r="Y95" s="121">
        <f t="shared" si="103"/>
        <v>-1.9172552976791102E-2</v>
      </c>
      <c r="Z95" s="121">
        <f t="shared" si="103"/>
        <v>-6.4595660749506956E-2</v>
      </c>
      <c r="AA95" s="121">
        <f t="shared" ref="AA95:AH95" si="104">AA94/W94-1</f>
        <v>-5.5612770339855788E-2</v>
      </c>
      <c r="AB95" s="121">
        <f t="shared" si="104"/>
        <v>-3.3713692946058083E-2</v>
      </c>
      <c r="AC95" s="121">
        <f t="shared" si="104"/>
        <v>-3.4979423868312765E-2</v>
      </c>
      <c r="AD95" s="121">
        <f t="shared" si="104"/>
        <v>5.2714812862419969E-4</v>
      </c>
      <c r="AE95" s="121">
        <f t="shared" si="104"/>
        <v>-2.0174482006543037E-2</v>
      </c>
      <c r="AF95" s="121">
        <f t="shared" si="104"/>
        <v>-5.3676865271068186E-2</v>
      </c>
      <c r="AG95" s="121">
        <f t="shared" si="104"/>
        <v>-5.4904051172707913E-2</v>
      </c>
      <c r="AH95" s="121">
        <f t="shared" si="104"/>
        <v>-6.6385669125395119E-2</v>
      </c>
      <c r="AI95" s="121">
        <f t="shared" ref="AI95:BB95" si="105">AI94/AE94-1</f>
        <v>-5.5091819699499167E-2</v>
      </c>
      <c r="AJ95" s="121">
        <f t="shared" si="105"/>
        <v>-5.8423142370958581E-2</v>
      </c>
      <c r="AK95" s="121">
        <f t="shared" si="105"/>
        <v>-5.6401579244218847E-2</v>
      </c>
      <c r="AL95" s="121">
        <f t="shared" si="105"/>
        <v>-6.1512415349887162E-2</v>
      </c>
      <c r="AM95" s="121">
        <f t="shared" si="105"/>
        <v>-2.0023557126030656E-2</v>
      </c>
      <c r="AN95" s="121">
        <f t="shared" si="105"/>
        <v>1.6265060240963747E-2</v>
      </c>
      <c r="AO95" s="121">
        <f t="shared" si="105"/>
        <v>2.5104602510460206E-2</v>
      </c>
      <c r="AP95" s="121">
        <f t="shared" si="105"/>
        <v>6.6145520144318404E-3</v>
      </c>
      <c r="AQ95" s="121">
        <f t="shared" si="105"/>
        <v>2.0432692307692291E-2</v>
      </c>
      <c r="AR95" s="121">
        <f t="shared" si="105"/>
        <v>3.6158861885003057E-2</v>
      </c>
      <c r="AS95" s="121">
        <f t="shared" si="105"/>
        <v>3.0903790087463578E-2</v>
      </c>
      <c r="AT95" s="121">
        <f t="shared" si="105"/>
        <v>7.1087216248506557E-2</v>
      </c>
      <c r="AU95" s="121">
        <f t="shared" si="105"/>
        <v>5.0647820965842083E-2</v>
      </c>
      <c r="AV95" s="121">
        <f t="shared" si="105"/>
        <v>1.7734553775743622E-2</v>
      </c>
      <c r="AW95" s="121">
        <f t="shared" si="105"/>
        <v>2.1493212669683182E-2</v>
      </c>
      <c r="AX95" s="121">
        <f t="shared" si="105"/>
        <v>2.6770775237032973E-2</v>
      </c>
      <c r="AY95" s="121">
        <f t="shared" si="105"/>
        <v>3.0829596412556004E-2</v>
      </c>
      <c r="AZ95" s="121">
        <f t="shared" si="105"/>
        <v>3.9347948285553658E-2</v>
      </c>
      <c r="BA95" s="121">
        <f t="shared" si="105"/>
        <v>2.6024363233665637E-2</v>
      </c>
      <c r="BB95" s="121">
        <f t="shared" si="105"/>
        <v>1.4122759369907589E-2</v>
      </c>
      <c r="BC95" s="37"/>
      <c r="BD95" s="37"/>
    </row>
    <row r="96" spans="1:72" ht="14.55" customHeight="1" x14ac:dyDescent="0.3">
      <c r="B96" s="38" t="s">
        <v>199</v>
      </c>
      <c r="C96" s="47"/>
      <c r="D96" s="124">
        <f>D94/C94-1</f>
        <v>2.210216110019636E-2</v>
      </c>
      <c r="E96" s="124">
        <f t="shared" ref="E96:Z96" si="106">E94/D94-1</f>
        <v>-7.2080730418068173E-3</v>
      </c>
      <c r="F96" s="124">
        <f t="shared" si="106"/>
        <v>2.1781219748305825E-2</v>
      </c>
      <c r="G96" s="124">
        <f t="shared" si="106"/>
        <v>-2.1316911416390361E-2</v>
      </c>
      <c r="H96" s="124">
        <f t="shared" si="106"/>
        <v>-1.4520813165537216E-3</v>
      </c>
      <c r="I96" s="124">
        <f t="shared" si="106"/>
        <v>-5.8167716917111312E-3</v>
      </c>
      <c r="J96" s="124">
        <f t="shared" si="106"/>
        <v>-1.3164310092637743E-2</v>
      </c>
      <c r="K96" s="124">
        <f t="shared" si="106"/>
        <v>-3.5079051383399174E-2</v>
      </c>
      <c r="L96" s="124">
        <f t="shared" si="106"/>
        <v>1.0240655401945187E-3</v>
      </c>
      <c r="M96" s="124">
        <f t="shared" si="106"/>
        <v>-4.6035805626598592E-3</v>
      </c>
      <c r="N96" s="124">
        <f t="shared" si="106"/>
        <v>2.1582733812949728E-2</v>
      </c>
      <c r="O96" s="124">
        <f t="shared" si="106"/>
        <v>1.5593561368209219E-2</v>
      </c>
      <c r="P96" s="124">
        <f t="shared" si="106"/>
        <v>-1.733531451213477E-2</v>
      </c>
      <c r="Q96" s="124">
        <f t="shared" si="106"/>
        <v>3.125E-2</v>
      </c>
      <c r="R96" s="124">
        <f t="shared" si="106"/>
        <v>4.8875855327468187E-4</v>
      </c>
      <c r="S96" s="116">
        <f t="shared" si="106"/>
        <v>-2.0517830972154427E-2</v>
      </c>
      <c r="T96" s="116">
        <f t="shared" si="106"/>
        <v>-3.5411471321695753E-2</v>
      </c>
      <c r="U96" s="116">
        <f t="shared" si="106"/>
        <v>2.4819027921406445E-2</v>
      </c>
      <c r="V96" s="116">
        <f t="shared" si="106"/>
        <v>2.3208879919273562E-2</v>
      </c>
      <c r="W96" s="116">
        <f t="shared" si="106"/>
        <v>-4.2406311637080862E-2</v>
      </c>
      <c r="X96" s="116">
        <f t="shared" si="106"/>
        <v>-7.2090628218332009E-3</v>
      </c>
      <c r="Y96" s="116">
        <f t="shared" si="106"/>
        <v>8.2987551867219622E-3</v>
      </c>
      <c r="Z96" s="116">
        <f t="shared" si="106"/>
        <v>-2.4176954732510247E-2</v>
      </c>
      <c r="AA96" s="116">
        <f t="shared" ref="AA96:AH96" si="107">AA94/Z94-1</f>
        <v>-3.3210332103321027E-2</v>
      </c>
      <c r="AB96" s="116">
        <f t="shared" si="107"/>
        <v>1.5812431842966213E-2</v>
      </c>
      <c r="AC96" s="116">
        <f t="shared" si="107"/>
        <v>6.977992485238893E-3</v>
      </c>
      <c r="AD96" s="116">
        <f t="shared" si="107"/>
        <v>1.1727078891258014E-2</v>
      </c>
      <c r="AE96" s="116">
        <f t="shared" si="107"/>
        <v>-5.3213909378292956E-2</v>
      </c>
      <c r="AF96" s="116">
        <f t="shared" si="107"/>
        <v>-1.8920422927100722E-2</v>
      </c>
      <c r="AG96" s="116">
        <f t="shared" si="107"/>
        <v>5.6721497447531632E-3</v>
      </c>
      <c r="AH96" s="116">
        <f t="shared" si="107"/>
        <v>-5.6401579244214073E-4</v>
      </c>
      <c r="AI96" s="116">
        <f t="shared" ref="AI96:AN96" si="108">AI94/AH94-1</f>
        <v>-4.1760722347629842E-2</v>
      </c>
      <c r="AJ96" s="116">
        <f t="shared" si="108"/>
        <v>-2.2379269729093099E-2</v>
      </c>
      <c r="AK96" s="116">
        <f t="shared" si="108"/>
        <v>7.8313253012047834E-3</v>
      </c>
      <c r="AL96" s="116">
        <f t="shared" si="108"/>
        <v>-5.9772863120143294E-3</v>
      </c>
      <c r="AM96" s="116">
        <f t="shared" si="108"/>
        <v>6.0132291040293495E-4</v>
      </c>
      <c r="AN96" s="116">
        <f t="shared" si="108"/>
        <v>1.3822115384615419E-2</v>
      </c>
      <c r="AO96" s="116">
        <f t="shared" ref="AO96:BB96" si="109">AO94/AN94-1</f>
        <v>1.6597510373443924E-2</v>
      </c>
      <c r="AP96" s="116">
        <f t="shared" si="109"/>
        <v>-2.3906705539358586E-2</v>
      </c>
      <c r="AQ96" s="116">
        <f t="shared" si="109"/>
        <v>1.4336917562723928E-2</v>
      </c>
      <c r="AR96" s="116">
        <f t="shared" si="109"/>
        <v>2.9446407538280317E-2</v>
      </c>
      <c r="AS96" s="116">
        <f t="shared" si="109"/>
        <v>1.1441647597254079E-2</v>
      </c>
      <c r="AT96" s="116">
        <f t="shared" si="109"/>
        <v>1.4140271493212619E-2</v>
      </c>
      <c r="AU96" s="116">
        <f t="shared" si="109"/>
        <v>-5.0195203569436408E-3</v>
      </c>
      <c r="AV96" s="116">
        <f t="shared" si="109"/>
        <v>-2.8026905829596771E-3</v>
      </c>
      <c r="AW96" s="116">
        <f t="shared" si="109"/>
        <v>1.5177065767284947E-2</v>
      </c>
      <c r="AX96" s="116">
        <f t="shared" si="109"/>
        <v>1.9379844961240345E-2</v>
      </c>
      <c r="AY96" s="116">
        <f t="shared" si="109"/>
        <v>-1.0863661053774898E-3</v>
      </c>
      <c r="AZ96" s="116">
        <f t="shared" si="109"/>
        <v>5.4377379010330795E-3</v>
      </c>
      <c r="BA96" s="116">
        <f t="shared" si="109"/>
        <v>2.1633315305571443E-3</v>
      </c>
      <c r="BB96" s="116">
        <f t="shared" si="109"/>
        <v>7.5553157042633767E-3</v>
      </c>
    </row>
    <row r="97" spans="2:72" ht="14.55" customHeight="1" x14ac:dyDescent="0.3">
      <c r="C97" s="47"/>
      <c r="D97" s="122"/>
      <c r="E97" s="122"/>
      <c r="F97" s="122"/>
      <c r="G97" s="122"/>
      <c r="H97" s="122"/>
      <c r="I97" s="122"/>
      <c r="J97" s="122"/>
      <c r="K97" s="122"/>
      <c r="L97" s="122"/>
      <c r="M97" s="122"/>
      <c r="N97" s="122"/>
      <c r="O97" s="122"/>
      <c r="P97" s="122"/>
      <c r="Q97" s="122"/>
      <c r="R97" s="122"/>
      <c r="S97" s="123"/>
      <c r="T97" s="123"/>
      <c r="U97" s="123"/>
      <c r="V97" s="123"/>
      <c r="W97" s="123"/>
      <c r="X97" s="123"/>
      <c r="Y97" s="123"/>
      <c r="Z97" s="123"/>
      <c r="AA97" s="123"/>
      <c r="AB97" s="123"/>
      <c r="AC97" s="123"/>
      <c r="AD97" s="123"/>
      <c r="AE97" s="116"/>
      <c r="AF97" s="116"/>
      <c r="AG97" s="116"/>
      <c r="AH97" s="116"/>
      <c r="AI97" s="116"/>
      <c r="AJ97" s="116"/>
      <c r="AK97" s="116"/>
      <c r="AL97" s="116"/>
      <c r="AM97" s="116"/>
      <c r="AN97" s="116"/>
      <c r="AO97" s="116"/>
      <c r="AP97" s="116"/>
      <c r="AQ97" s="116"/>
      <c r="AR97" s="116"/>
      <c r="AS97" s="116"/>
      <c r="AT97" s="116"/>
      <c r="AU97" s="116"/>
      <c r="AV97" s="116"/>
      <c r="AW97" s="116"/>
      <c r="AX97" s="116"/>
      <c r="AY97" s="116"/>
      <c r="AZ97" s="116"/>
      <c r="BA97" s="116"/>
      <c r="BB97" s="116"/>
    </row>
    <row r="98" spans="2:72" s="37" customFormat="1" ht="14.55" customHeight="1" x14ac:dyDescent="0.3">
      <c r="B98" s="37" t="s">
        <v>425</v>
      </c>
      <c r="C98" s="119"/>
      <c r="D98" s="120"/>
      <c r="E98" s="120"/>
      <c r="F98" s="120"/>
      <c r="G98" s="120"/>
      <c r="H98" s="120"/>
      <c r="I98" s="235" t="str">
        <f>IFERROR(I22/E22-1,"")</f>
        <v/>
      </c>
      <c r="J98" s="235" t="str">
        <f t="shared" ref="J98:BB98" si="110">IFERROR(J22/F22-1,"")</f>
        <v/>
      </c>
      <c r="K98" s="235" t="str">
        <f t="shared" si="110"/>
        <v/>
      </c>
      <c r="L98" s="235" t="str">
        <f t="shared" si="110"/>
        <v/>
      </c>
      <c r="M98" s="235" t="str">
        <f t="shared" si="110"/>
        <v/>
      </c>
      <c r="N98" s="235" t="str">
        <f t="shared" si="110"/>
        <v/>
      </c>
      <c r="O98" s="235" t="str">
        <f t="shared" si="110"/>
        <v/>
      </c>
      <c r="P98" s="235" t="str">
        <f t="shared" si="110"/>
        <v/>
      </c>
      <c r="Q98" s="235" t="str">
        <f t="shared" si="110"/>
        <v/>
      </c>
      <c r="R98" s="235" t="str">
        <f t="shared" si="110"/>
        <v/>
      </c>
      <c r="S98" s="235" t="str">
        <f t="shared" si="110"/>
        <v/>
      </c>
      <c r="T98" s="235" t="str">
        <f t="shared" si="110"/>
        <v/>
      </c>
      <c r="U98" s="235" t="str">
        <f t="shared" si="110"/>
        <v/>
      </c>
      <c r="V98" s="235" t="str">
        <f t="shared" si="110"/>
        <v/>
      </c>
      <c r="W98" s="235" t="str">
        <f t="shared" si="110"/>
        <v/>
      </c>
      <c r="X98" s="235" t="str">
        <f t="shared" si="110"/>
        <v/>
      </c>
      <c r="Y98" s="235" t="str">
        <f t="shared" si="110"/>
        <v/>
      </c>
      <c r="Z98" s="235" t="str">
        <f t="shared" si="110"/>
        <v/>
      </c>
      <c r="AA98" s="235" t="str">
        <f t="shared" si="110"/>
        <v/>
      </c>
      <c r="AB98" s="235" t="str">
        <f t="shared" si="110"/>
        <v/>
      </c>
      <c r="AC98" s="235" t="str">
        <f t="shared" si="110"/>
        <v/>
      </c>
      <c r="AD98" s="235" t="str">
        <f t="shared" si="110"/>
        <v/>
      </c>
      <c r="AE98" s="235" t="str">
        <f t="shared" si="110"/>
        <v/>
      </c>
      <c r="AF98" s="235" t="str">
        <f t="shared" si="110"/>
        <v/>
      </c>
      <c r="AG98" s="235" t="str">
        <f t="shared" si="110"/>
        <v/>
      </c>
      <c r="AH98" s="235" t="str">
        <f t="shared" si="110"/>
        <v/>
      </c>
      <c r="AI98" s="235" t="str">
        <f t="shared" si="110"/>
        <v/>
      </c>
      <c r="AJ98" s="235" t="str">
        <f t="shared" si="110"/>
        <v/>
      </c>
      <c r="AK98" s="235" t="str">
        <f t="shared" si="110"/>
        <v/>
      </c>
      <c r="AL98" s="235" t="str">
        <f t="shared" si="110"/>
        <v/>
      </c>
      <c r="AM98" s="235" t="str">
        <f t="shared" si="110"/>
        <v/>
      </c>
      <c r="AN98" s="235" t="str">
        <f t="shared" si="110"/>
        <v/>
      </c>
      <c r="AO98" s="235" t="str">
        <f t="shared" si="110"/>
        <v/>
      </c>
      <c r="AP98" s="235" t="str">
        <f t="shared" si="110"/>
        <v/>
      </c>
      <c r="AQ98" s="235">
        <f t="shared" si="110"/>
        <v>0.21641791044776126</v>
      </c>
      <c r="AR98" s="235">
        <f t="shared" si="110"/>
        <v>0.22695035460992918</v>
      </c>
      <c r="AS98" s="235">
        <f t="shared" si="110"/>
        <v>0.21621621621621623</v>
      </c>
      <c r="AT98" s="235">
        <f t="shared" si="110"/>
        <v>0.19108280254777066</v>
      </c>
      <c r="AU98" s="235">
        <f t="shared" si="110"/>
        <v>0.17791411042944794</v>
      </c>
      <c r="AV98" s="235">
        <f t="shared" si="110"/>
        <v>0.16184971098265888</v>
      </c>
      <c r="AW98" s="235">
        <f t="shared" si="110"/>
        <v>0.1166666666666667</v>
      </c>
      <c r="AX98" s="235">
        <f t="shared" si="110"/>
        <v>0.14973262032085555</v>
      </c>
      <c r="AY98" s="235">
        <f t="shared" si="110"/>
        <v>0.125</v>
      </c>
      <c r="AZ98" s="235">
        <f t="shared" si="110"/>
        <v>0.11442786069651745</v>
      </c>
      <c r="BA98" s="235">
        <f t="shared" si="110"/>
        <v>0.11940298507462677</v>
      </c>
      <c r="BB98" s="235">
        <f t="shared" si="110"/>
        <v>3.2558139534883734E-2</v>
      </c>
      <c r="BE98" s="318"/>
      <c r="BF98" s="318"/>
      <c r="BG98" s="318"/>
      <c r="BH98" s="318"/>
      <c r="BI98" s="318"/>
      <c r="BJ98" s="318"/>
      <c r="BK98" s="318"/>
      <c r="BL98" s="318"/>
      <c r="BM98" s="318"/>
      <c r="BN98" s="318"/>
      <c r="BO98" s="318"/>
      <c r="BP98" s="318"/>
      <c r="BQ98" s="318"/>
      <c r="BR98" s="318"/>
      <c r="BS98" s="318"/>
      <c r="BT98" s="318"/>
    </row>
    <row r="99" spans="2:72" ht="14.55" customHeight="1" x14ac:dyDescent="0.3">
      <c r="C99" s="47"/>
      <c r="D99" s="122"/>
      <c r="E99" s="122"/>
      <c r="F99" s="122"/>
      <c r="G99" s="122"/>
      <c r="H99" s="122"/>
      <c r="I99" s="122"/>
      <c r="J99" s="122"/>
      <c r="K99" s="122"/>
      <c r="L99" s="122"/>
      <c r="M99" s="122"/>
      <c r="N99" s="122"/>
      <c r="O99" s="122"/>
      <c r="P99" s="122"/>
      <c r="Q99" s="122"/>
      <c r="R99" s="122"/>
      <c r="S99" s="123"/>
      <c r="T99" s="123"/>
      <c r="U99" s="123"/>
      <c r="V99" s="123"/>
      <c r="W99" s="123"/>
      <c r="X99" s="123"/>
      <c r="Y99" s="123"/>
      <c r="Z99" s="123"/>
      <c r="AA99" s="123"/>
      <c r="AB99" s="123"/>
      <c r="AC99" s="123"/>
      <c r="AD99" s="123"/>
      <c r="AE99" s="116"/>
      <c r="AF99" s="116"/>
      <c r="AG99" s="116"/>
      <c r="AH99" s="116"/>
      <c r="AI99" s="116"/>
      <c r="AJ99" s="116"/>
      <c r="AK99" s="116"/>
      <c r="AL99" s="116"/>
      <c r="AM99" s="116"/>
      <c r="AN99" s="116"/>
      <c r="AO99" s="116"/>
      <c r="AP99" s="116"/>
      <c r="AQ99" s="116"/>
      <c r="AR99" s="116"/>
      <c r="AS99" s="116"/>
      <c r="AT99" s="116"/>
      <c r="AU99" s="116"/>
      <c r="AV99" s="116"/>
      <c r="AW99" s="116"/>
      <c r="AX99" s="116"/>
      <c r="AY99" s="116"/>
      <c r="AZ99" s="116"/>
      <c r="BA99" s="116"/>
      <c r="BB99" s="116"/>
    </row>
    <row r="100" spans="2:72" ht="14.55" customHeight="1" x14ac:dyDescent="0.3">
      <c r="B100" s="37" t="s">
        <v>384</v>
      </c>
      <c r="C100" s="47"/>
      <c r="D100" s="122"/>
      <c r="E100" s="122"/>
      <c r="F100" s="122"/>
      <c r="G100" s="122"/>
      <c r="H100" s="122"/>
      <c r="I100" s="122"/>
      <c r="J100" s="122"/>
      <c r="K100" s="122"/>
      <c r="L100" s="122"/>
      <c r="M100" s="122"/>
      <c r="N100" s="122"/>
      <c r="O100" s="122"/>
      <c r="P100" s="122"/>
      <c r="Q100" s="122"/>
      <c r="R100" s="122"/>
      <c r="S100" s="123"/>
      <c r="T100" s="123"/>
      <c r="U100" s="123"/>
      <c r="V100" s="123"/>
      <c r="W100" s="123"/>
      <c r="X100" s="123"/>
      <c r="Y100" s="123"/>
      <c r="Z100" s="123"/>
      <c r="AA100" s="123"/>
      <c r="AB100" s="123"/>
      <c r="AC100" s="123"/>
      <c r="AD100" s="123"/>
      <c r="AE100" s="116"/>
      <c r="AF100" s="116"/>
      <c r="AG100" s="116"/>
      <c r="AH100" s="116"/>
      <c r="AI100" s="116"/>
      <c r="AJ100" s="116"/>
      <c r="AK100" s="116"/>
      <c r="AL100" s="116"/>
      <c r="AM100" s="116"/>
      <c r="AN100" s="116"/>
      <c r="AO100" s="116"/>
      <c r="AP100" s="116"/>
      <c r="AQ100" s="116"/>
      <c r="AR100" s="116"/>
      <c r="AS100" s="116"/>
      <c r="AT100" s="116"/>
      <c r="AU100" s="116"/>
      <c r="AV100" s="116"/>
      <c r="AW100" s="116"/>
      <c r="AX100" s="116"/>
      <c r="AY100" s="116"/>
      <c r="AZ100" s="116"/>
      <c r="BA100" s="116"/>
      <c r="BB100" s="116"/>
    </row>
    <row r="101" spans="2:72" ht="14.55" customHeight="1" x14ac:dyDescent="0.3">
      <c r="B101" s="38" t="s">
        <v>423</v>
      </c>
      <c r="C101" s="47"/>
      <c r="D101" s="122"/>
      <c r="E101" s="122"/>
      <c r="F101" s="122"/>
      <c r="G101" s="122"/>
      <c r="H101" s="122"/>
      <c r="I101" s="122"/>
      <c r="J101" s="122"/>
      <c r="K101" s="122"/>
      <c r="L101" s="122"/>
      <c r="M101" s="122"/>
      <c r="N101" s="122"/>
      <c r="O101" s="122"/>
      <c r="P101" s="122"/>
      <c r="Q101" s="122"/>
      <c r="R101" s="122"/>
      <c r="S101" s="123"/>
      <c r="T101" s="123"/>
      <c r="U101" s="123"/>
      <c r="V101" s="123"/>
      <c r="W101" s="123"/>
      <c r="X101" s="123"/>
      <c r="Y101" s="123"/>
      <c r="Z101" s="123"/>
      <c r="AA101" s="123"/>
      <c r="AB101" s="123"/>
      <c r="AC101" s="123"/>
      <c r="AD101" s="123"/>
      <c r="AE101" s="116"/>
      <c r="AF101" s="116"/>
      <c r="AG101" s="116"/>
      <c r="AH101" s="116"/>
      <c r="AI101" s="116"/>
      <c r="AJ101" s="116"/>
      <c r="AK101" s="116"/>
      <c r="AL101" s="116"/>
      <c r="AM101" s="116"/>
      <c r="AN101" s="116"/>
      <c r="AO101" s="116"/>
      <c r="AP101" s="116"/>
      <c r="AQ101" s="116">
        <f t="shared" ref="AQ101" si="111">AQ26/AM26-1</f>
        <v>2.7777777777777679E-2</v>
      </c>
      <c r="AR101" s="116">
        <f t="shared" ref="AR101" si="112">AR26/AN26-1</f>
        <v>0</v>
      </c>
      <c r="AS101" s="116">
        <f t="shared" ref="AS101" si="113">AS26/AO26-1</f>
        <v>6.9892473118279508E-2</v>
      </c>
      <c r="AT101" s="116">
        <f t="shared" ref="AT101" si="114">AT26/AP26-1</f>
        <v>9.5238095238095344E-2</v>
      </c>
      <c r="AU101" s="116">
        <f t="shared" ref="AU101" si="115">AU26/AQ26-1</f>
        <v>8.1081081081081141E-2</v>
      </c>
      <c r="AV101" s="116">
        <f t="shared" ref="AV101" si="116">AV26/AR26-1</f>
        <v>8.6486486486486491E-2</v>
      </c>
      <c r="AW101" s="116">
        <f t="shared" ref="AW101" si="117">AW26/AS26-1</f>
        <v>5.0251256281406143E-3</v>
      </c>
      <c r="AX101" s="116">
        <f t="shared" ref="AX101" si="118">AX26/AT26-1</f>
        <v>-9.6618357487923134E-3</v>
      </c>
      <c r="AY101" s="116">
        <f t="shared" ref="AY101" si="119">AY26/AU26-1</f>
        <v>0</v>
      </c>
      <c r="AZ101" s="116">
        <f t="shared" ref="AZ101" si="120">AZ26/AV26-1</f>
        <v>4.9751243781095411E-3</v>
      </c>
      <c r="BA101" s="116">
        <f t="shared" ref="BA101:BB101" si="121">BA26/AW26-1</f>
        <v>4.4999999999999929E-2</v>
      </c>
      <c r="BB101" s="116">
        <f t="shared" si="121"/>
        <v>4.8780487804878092E-2</v>
      </c>
      <c r="BE101" s="51">
        <f t="shared" ref="BE101:BJ102" si="122">AV26-AR26</f>
        <v>16</v>
      </c>
      <c r="BF101" s="51">
        <f t="shared" si="122"/>
        <v>1</v>
      </c>
      <c r="BG101" s="51">
        <f t="shared" si="122"/>
        <v>-2</v>
      </c>
      <c r="BH101" s="51">
        <f t="shared" si="122"/>
        <v>0</v>
      </c>
      <c r="BI101" s="51">
        <f t="shared" si="122"/>
        <v>1</v>
      </c>
      <c r="BJ101" s="51">
        <f t="shared" si="122"/>
        <v>9</v>
      </c>
      <c r="BK101" s="51"/>
    </row>
    <row r="102" spans="2:72" ht="14.55" customHeight="1" x14ac:dyDescent="0.3">
      <c r="B102" s="38" t="s">
        <v>424</v>
      </c>
      <c r="C102" s="47"/>
      <c r="D102" s="122"/>
      <c r="E102" s="122"/>
      <c r="F102" s="122"/>
      <c r="G102" s="122"/>
      <c r="H102" s="122"/>
      <c r="I102" s="122"/>
      <c r="J102" s="122"/>
      <c r="K102" s="122"/>
      <c r="L102" s="122"/>
      <c r="M102" s="122"/>
      <c r="N102" s="122"/>
      <c r="O102" s="122"/>
      <c r="P102" s="122"/>
      <c r="Q102" s="122"/>
      <c r="R102" s="122"/>
      <c r="S102" s="123"/>
      <c r="T102" s="123"/>
      <c r="U102" s="123"/>
      <c r="V102" s="123"/>
      <c r="W102" s="123"/>
      <c r="X102" s="123"/>
      <c r="Y102" s="123"/>
      <c r="Z102" s="123"/>
      <c r="AA102" s="123"/>
      <c r="AB102" s="123"/>
      <c r="AC102" s="123"/>
      <c r="AD102" s="123"/>
      <c r="AE102" s="116"/>
      <c r="AF102" s="116"/>
      <c r="AG102" s="116"/>
      <c r="AH102" s="116"/>
      <c r="AI102" s="116"/>
      <c r="AJ102" s="116"/>
      <c r="AK102" s="116"/>
      <c r="AL102" s="116"/>
      <c r="AM102" s="116"/>
      <c r="AN102" s="116"/>
      <c r="AO102" s="116"/>
      <c r="AP102" s="116"/>
      <c r="AQ102" s="116">
        <f t="shared" ref="AQ102" si="123">AQ27/AM27-1</f>
        <v>7.9787234042553168E-2</v>
      </c>
      <c r="AR102" s="116">
        <f t="shared" ref="AR102" si="124">AR27/AN27-1</f>
        <v>8.0645161290322509E-2</v>
      </c>
      <c r="AS102" s="116">
        <f t="shared" ref="AS102" si="125">AS27/AO27-1</f>
        <v>-3.0927835051546393E-2</v>
      </c>
      <c r="AT102" s="116">
        <f t="shared" ref="AT102" si="126">AT27/AP27-1</f>
        <v>-0.25238095238095237</v>
      </c>
      <c r="AU102" s="116">
        <f t="shared" ref="AU102" si="127">AU27/AQ27-1</f>
        <v>-0.18719211822660098</v>
      </c>
      <c r="AV102" s="116">
        <f t="shared" ref="AV102" si="128">AV27/AR27-1</f>
        <v>-0.19900497512437809</v>
      </c>
      <c r="AW102" s="116">
        <f t="shared" ref="AW102" si="129">AW27/AS27-1</f>
        <v>-4.2553191489361653E-2</v>
      </c>
      <c r="AX102" s="116">
        <f t="shared" ref="AX102" si="130">AX27/AT27-1</f>
        <v>0.24840764331210186</v>
      </c>
      <c r="AY102" s="116">
        <f t="shared" ref="AY102" si="131">AY27/AU27-1</f>
        <v>0.1333333333333333</v>
      </c>
      <c r="AZ102" s="116">
        <f t="shared" ref="AZ102" si="132">AZ27/AV27-1</f>
        <v>0.2360248447204969</v>
      </c>
      <c r="BA102" s="116">
        <f t="shared" ref="BA102:BB102" si="133">BA27/AW27-1</f>
        <v>3.8888888888888973E-2</v>
      </c>
      <c r="BB102" s="116">
        <f t="shared" si="133"/>
        <v>7.6530612244897878E-2</v>
      </c>
      <c r="BE102" s="51">
        <f t="shared" si="122"/>
        <v>-40</v>
      </c>
      <c r="BF102" s="51">
        <f t="shared" si="122"/>
        <v>-8</v>
      </c>
      <c r="BG102" s="51">
        <f t="shared" si="122"/>
        <v>39</v>
      </c>
      <c r="BH102" s="51">
        <f t="shared" si="122"/>
        <v>22</v>
      </c>
      <c r="BI102" s="51">
        <f t="shared" si="122"/>
        <v>38</v>
      </c>
      <c r="BJ102" s="51">
        <f t="shared" si="122"/>
        <v>7</v>
      </c>
      <c r="BK102" s="51"/>
    </row>
    <row r="103" spans="2:72" s="37" customFormat="1" ht="14.55" customHeight="1" x14ac:dyDescent="0.3">
      <c r="B103" s="37" t="s">
        <v>373</v>
      </c>
      <c r="C103" s="119"/>
      <c r="D103" s="120"/>
      <c r="E103" s="120"/>
      <c r="F103" s="120"/>
      <c r="G103" s="120"/>
      <c r="H103" s="120"/>
      <c r="I103" s="120"/>
      <c r="J103" s="120"/>
      <c r="K103" s="120"/>
      <c r="L103" s="120"/>
      <c r="M103" s="120"/>
      <c r="N103" s="120"/>
      <c r="O103" s="120"/>
      <c r="P103" s="120"/>
      <c r="Q103" s="120"/>
      <c r="R103" s="120"/>
      <c r="S103" s="271"/>
      <c r="T103" s="271"/>
      <c r="U103" s="271"/>
      <c r="V103" s="271"/>
      <c r="W103" s="271"/>
      <c r="X103" s="271"/>
      <c r="Y103" s="271"/>
      <c r="Z103" s="271"/>
      <c r="AA103" s="271"/>
      <c r="AB103" s="271"/>
      <c r="AC103" s="271"/>
      <c r="AD103" s="271"/>
      <c r="AE103" s="235"/>
      <c r="AF103" s="235"/>
      <c r="AG103" s="235"/>
      <c r="AH103" s="235"/>
      <c r="AI103" s="235"/>
      <c r="AJ103" s="235"/>
      <c r="AK103" s="235"/>
      <c r="AL103" s="235"/>
      <c r="AM103" s="235"/>
      <c r="AN103" s="235"/>
      <c r="AO103" s="235"/>
      <c r="AP103" s="235"/>
      <c r="AQ103" s="235">
        <f t="shared" ref="AQ103:BB103" si="134">AQ28/AM28-1</f>
        <v>5.4347826086956541E-2</v>
      </c>
      <c r="AR103" s="235">
        <f t="shared" si="134"/>
        <v>4.0431266846361114E-2</v>
      </c>
      <c r="AS103" s="235">
        <f t="shared" si="134"/>
        <v>1.8421052631578894E-2</v>
      </c>
      <c r="AT103" s="235">
        <f t="shared" si="134"/>
        <v>-8.7719298245614086E-2</v>
      </c>
      <c r="AU103" s="235">
        <f t="shared" si="134"/>
        <v>-5.9278350515463929E-2</v>
      </c>
      <c r="AV103" s="235">
        <f t="shared" si="134"/>
        <v>-6.2176165803108807E-2</v>
      </c>
      <c r="AW103" s="235">
        <f t="shared" si="134"/>
        <v>-1.8087855297157618E-2</v>
      </c>
      <c r="AX103" s="235">
        <f t="shared" si="134"/>
        <v>0.10164835164835173</v>
      </c>
      <c r="AY103" s="235">
        <f t="shared" si="134"/>
        <v>6.02739726027397E-2</v>
      </c>
      <c r="AZ103" s="235">
        <f t="shared" si="134"/>
        <v>0.10773480662983426</v>
      </c>
      <c r="BA103" s="235">
        <f t="shared" si="134"/>
        <v>4.2105263157894646E-2</v>
      </c>
      <c r="BB103" s="235">
        <f t="shared" si="134"/>
        <v>6.2344139650872821E-2</v>
      </c>
      <c r="BD103" s="38"/>
      <c r="BE103"/>
      <c r="BF103"/>
      <c r="BG103"/>
      <c r="BH103"/>
      <c r="BI103"/>
      <c r="BJ103"/>
      <c r="BK103"/>
      <c r="BL103"/>
      <c r="BM103"/>
      <c r="BN103"/>
      <c r="BO103"/>
      <c r="BP103"/>
      <c r="BQ103"/>
      <c r="BR103"/>
      <c r="BS103"/>
      <c r="BT103"/>
    </row>
    <row r="104" spans="2:72" ht="14.55" customHeight="1" x14ac:dyDescent="0.3">
      <c r="B104" s="38" t="s">
        <v>374</v>
      </c>
      <c r="C104" s="47"/>
      <c r="D104" s="122"/>
      <c r="E104" s="122"/>
      <c r="F104" s="122"/>
      <c r="G104" s="122"/>
      <c r="H104" s="122"/>
      <c r="I104" s="122"/>
      <c r="J104" s="122"/>
      <c r="K104" s="122"/>
      <c r="L104" s="122"/>
      <c r="M104" s="122"/>
      <c r="N104" s="122"/>
      <c r="O104" s="122"/>
      <c r="P104" s="122"/>
      <c r="Q104" s="122"/>
      <c r="R104" s="122"/>
      <c r="S104" s="123"/>
      <c r="T104" s="123"/>
      <c r="U104" s="123"/>
      <c r="V104" s="123"/>
      <c r="W104" s="123"/>
      <c r="X104" s="123"/>
      <c r="Y104" s="123"/>
      <c r="Z104" s="123"/>
      <c r="AA104" s="123"/>
      <c r="AB104" s="123"/>
      <c r="AC104" s="123"/>
      <c r="AD104" s="123"/>
      <c r="AE104" s="116"/>
      <c r="AF104" s="116"/>
      <c r="AG104" s="116"/>
      <c r="AH104" s="116"/>
      <c r="AI104" s="116"/>
      <c r="AJ104" s="116"/>
      <c r="AK104" s="116"/>
      <c r="AL104" s="116"/>
      <c r="AM104" s="116"/>
      <c r="AN104" s="116">
        <f t="shared" ref="AN104:AZ104" si="135">AN28/AM28-1</f>
        <v>8.152173913043459E-3</v>
      </c>
      <c r="AO104" s="116">
        <f t="shared" si="135"/>
        <v>2.4258760107816801E-2</v>
      </c>
      <c r="AP104" s="116">
        <f t="shared" si="135"/>
        <v>5.0000000000000044E-2</v>
      </c>
      <c r="AQ104" s="116">
        <f t="shared" si="135"/>
        <v>-2.7568922305764465E-2</v>
      </c>
      <c r="AR104" s="116">
        <f t="shared" si="135"/>
        <v>-5.1546391752577136E-3</v>
      </c>
      <c r="AS104" s="116">
        <f t="shared" si="135"/>
        <v>2.5906735751295429E-3</v>
      </c>
      <c r="AT104" s="116">
        <f t="shared" si="135"/>
        <v>-5.9431524547803649E-2</v>
      </c>
      <c r="AU104" s="116">
        <f t="shared" si="135"/>
        <v>2.7472527472527375E-3</v>
      </c>
      <c r="AV104" s="116">
        <f t="shared" si="135"/>
        <v>-8.2191780821917471E-3</v>
      </c>
      <c r="AW104" s="116">
        <f t="shared" si="135"/>
        <v>4.9723756906077332E-2</v>
      </c>
      <c r="AX104" s="116">
        <f t="shared" si="135"/>
        <v>5.5263157894736903E-2</v>
      </c>
      <c r="AY104" s="116">
        <f t="shared" si="135"/>
        <v>-3.4912718204488824E-2</v>
      </c>
      <c r="AZ104" s="116">
        <f t="shared" si="135"/>
        <v>3.6175710594315236E-2</v>
      </c>
      <c r="BA104" s="116">
        <f t="shared" ref="BA104:BB104" si="136">BA28/AZ28-1</f>
        <v>-1.2468827930174564E-2</v>
      </c>
      <c r="BB104" s="116">
        <f t="shared" si="136"/>
        <v>7.575757575757569E-2</v>
      </c>
    </row>
    <row r="105" spans="2:72" ht="14.55" customHeight="1" x14ac:dyDescent="0.3">
      <c r="C105" s="47"/>
      <c r="D105" s="122"/>
      <c r="E105" s="122"/>
      <c r="F105" s="122"/>
      <c r="G105" s="122"/>
      <c r="H105" s="122"/>
      <c r="I105" s="122"/>
      <c r="J105" s="122"/>
      <c r="K105" s="122"/>
      <c r="L105" s="122"/>
      <c r="M105" s="122"/>
      <c r="N105" s="122"/>
      <c r="O105" s="122"/>
      <c r="P105" s="122"/>
      <c r="Q105" s="122"/>
      <c r="R105" s="122"/>
      <c r="S105" s="123"/>
      <c r="T105" s="123"/>
      <c r="U105" s="123"/>
      <c r="V105" s="123"/>
      <c r="W105" s="123"/>
      <c r="X105" s="123"/>
      <c r="Y105" s="123"/>
      <c r="Z105" s="123"/>
      <c r="AA105" s="123"/>
      <c r="AB105" s="123"/>
      <c r="AC105" s="123"/>
      <c r="AD105" s="123"/>
      <c r="AE105" s="116"/>
      <c r="AF105" s="116"/>
      <c r="AG105" s="116"/>
      <c r="AH105" s="116"/>
      <c r="AI105" s="116"/>
      <c r="AJ105" s="116"/>
      <c r="AK105" s="116"/>
      <c r="AL105" s="116"/>
      <c r="AM105" s="116"/>
      <c r="AN105" s="116"/>
      <c r="AO105" s="116"/>
      <c r="AP105" s="116"/>
      <c r="AQ105" s="116"/>
      <c r="AR105" s="116"/>
      <c r="AS105" s="116"/>
      <c r="AT105" s="116"/>
      <c r="AU105" s="116"/>
      <c r="AV105" s="116"/>
      <c r="AW105" s="116"/>
      <c r="AX105" s="116"/>
      <c r="AY105" s="116"/>
      <c r="AZ105" s="116"/>
      <c r="BA105" s="116"/>
      <c r="BB105" s="116"/>
    </row>
    <row r="106" spans="2:72" s="37" customFormat="1" ht="14.55" customHeight="1" x14ac:dyDescent="0.3">
      <c r="B106" s="37" t="s">
        <v>372</v>
      </c>
      <c r="C106" s="235"/>
      <c r="D106" s="235"/>
      <c r="E106" s="235"/>
      <c r="F106" s="235"/>
      <c r="G106" s="235">
        <f t="shared" ref="G106:BB106" si="137">G30/C30-1</f>
        <v>2.5849688846337981E-2</v>
      </c>
      <c r="H106" s="235">
        <f t="shared" si="137"/>
        <v>-3.2649253731342753E-3</v>
      </c>
      <c r="I106" s="235">
        <f t="shared" si="137"/>
        <v>-4.6992481203012026E-4</v>
      </c>
      <c r="J106" s="235">
        <f t="shared" si="137"/>
        <v>-3.1694993109784075E-2</v>
      </c>
      <c r="K106" s="235">
        <f t="shared" si="137"/>
        <v>-4.9463369108726063E-2</v>
      </c>
      <c r="L106" s="235">
        <f t="shared" si="137"/>
        <v>-4.2583060364997705E-2</v>
      </c>
      <c r="M106" s="235">
        <f t="shared" si="137"/>
        <v>-4.0432534085566574E-2</v>
      </c>
      <c r="N106" s="235">
        <f t="shared" si="137"/>
        <v>-8.5388994307400434E-3</v>
      </c>
      <c r="O106" s="235">
        <f t="shared" si="137"/>
        <v>4.1728031418753142E-2</v>
      </c>
      <c r="P106" s="235">
        <f t="shared" si="137"/>
        <v>2.1016617790811321E-2</v>
      </c>
      <c r="Q106" s="235">
        <f t="shared" si="137"/>
        <v>5.5365017148456541E-2</v>
      </c>
      <c r="R106" s="235">
        <f t="shared" si="137"/>
        <v>3.1100478468899517E-2</v>
      </c>
      <c r="S106" s="235">
        <f t="shared" si="137"/>
        <v>0</v>
      </c>
      <c r="T106" s="235">
        <f t="shared" si="137"/>
        <v>-1.627573001436089E-2</v>
      </c>
      <c r="U106" s="235">
        <f t="shared" si="137"/>
        <v>-1.9034354688950761E-2</v>
      </c>
      <c r="V106" s="235">
        <f t="shared" si="137"/>
        <v>4.6403712296982924E-3</v>
      </c>
      <c r="W106" s="235">
        <f t="shared" si="137"/>
        <v>-2.1677662582469392E-2</v>
      </c>
      <c r="X106" s="235">
        <f t="shared" si="137"/>
        <v>6.8126520681264235E-3</v>
      </c>
      <c r="Y106" s="235">
        <f t="shared" si="137"/>
        <v>-1.0884997633696214E-2</v>
      </c>
      <c r="Z106" s="235">
        <f t="shared" si="137"/>
        <v>-5.9584295612009286E-2</v>
      </c>
      <c r="AA106" s="235">
        <f t="shared" si="137"/>
        <v>-4.6242774566473965E-2</v>
      </c>
      <c r="AB106" s="235">
        <f t="shared" si="137"/>
        <v>-2.7066215563073981E-2</v>
      </c>
      <c r="AC106" s="235">
        <f t="shared" si="137"/>
        <v>-3.0143540669856472E-2</v>
      </c>
      <c r="AD106" s="235">
        <f t="shared" si="137"/>
        <v>5.893909626718985E-3</v>
      </c>
      <c r="AE106" s="235">
        <f t="shared" si="137"/>
        <v>-1.6666666666666718E-2</v>
      </c>
      <c r="AF106" s="235">
        <f t="shared" si="137"/>
        <v>-4.7193243914555372E-2</v>
      </c>
      <c r="AG106" s="235">
        <f t="shared" si="137"/>
        <v>-4.292057227429702E-2</v>
      </c>
      <c r="AH106" s="235">
        <f t="shared" si="137"/>
        <v>-2.734375E-2</v>
      </c>
      <c r="AI106" s="235">
        <f t="shared" si="137"/>
        <v>-3.5952747817155073E-3</v>
      </c>
      <c r="AJ106" s="235">
        <f t="shared" si="137"/>
        <v>-9.3847758081334609E-3</v>
      </c>
      <c r="AK106" s="235">
        <f t="shared" si="137"/>
        <v>0</v>
      </c>
      <c r="AL106" s="235">
        <f t="shared" si="137"/>
        <v>-2.3594377510040121E-2</v>
      </c>
      <c r="AM106" s="235">
        <f t="shared" si="137"/>
        <v>1.5979381443298912E-2</v>
      </c>
      <c r="AN106" s="235">
        <f t="shared" si="137"/>
        <v>5.1052631578947461E-2</v>
      </c>
      <c r="AO106" s="235">
        <f t="shared" si="137"/>
        <v>4.7938144329896959E-2</v>
      </c>
      <c r="AP106" s="235">
        <f t="shared" si="137"/>
        <v>3.6503856041131044E-2</v>
      </c>
      <c r="AQ106" s="235">
        <f t="shared" si="137"/>
        <v>2.9934043632673824E-2</v>
      </c>
      <c r="AR106" s="235">
        <f t="shared" si="137"/>
        <v>4.3565348022033046E-2</v>
      </c>
      <c r="AS106" s="235">
        <f t="shared" si="137"/>
        <v>3.6891293654697455E-2</v>
      </c>
      <c r="AT106" s="235">
        <f t="shared" si="137"/>
        <v>4.861111111111116E-2</v>
      </c>
      <c r="AU106" s="235">
        <f t="shared" si="137"/>
        <v>4.0394088669950756E-2</v>
      </c>
      <c r="AV106" s="235">
        <f t="shared" si="137"/>
        <v>1.3915547024952124E-2</v>
      </c>
      <c r="AW106" s="235">
        <f t="shared" si="137"/>
        <v>1.7552182163187879E-2</v>
      </c>
      <c r="AX106" s="235">
        <f t="shared" si="137"/>
        <v>4.1627246925260097E-2</v>
      </c>
      <c r="AY106" s="235">
        <f t="shared" si="137"/>
        <v>3.7405303030302983E-2</v>
      </c>
      <c r="AZ106" s="235">
        <f t="shared" si="137"/>
        <v>4.8745858968291422E-2</v>
      </c>
      <c r="BA106" s="235">
        <f t="shared" si="137"/>
        <v>3.170163170163165E-2</v>
      </c>
      <c r="BB106" s="235">
        <f t="shared" si="137"/>
        <v>2.0890099909173454E-2</v>
      </c>
      <c r="BE106"/>
      <c r="BF106"/>
      <c r="BG106"/>
      <c r="BH106"/>
      <c r="BI106"/>
      <c r="BJ106"/>
      <c r="BK106"/>
      <c r="BL106"/>
      <c r="BM106"/>
      <c r="BN106"/>
      <c r="BO106"/>
      <c r="BP106"/>
      <c r="BQ106"/>
      <c r="BR106"/>
      <c r="BS106"/>
      <c r="BT106"/>
    </row>
    <row r="107" spans="2:72" ht="14.55" customHeight="1" x14ac:dyDescent="0.3">
      <c r="C107" s="47"/>
      <c r="D107" s="122"/>
      <c r="E107" s="122"/>
      <c r="F107" s="122"/>
      <c r="G107" s="122"/>
      <c r="H107" s="122"/>
      <c r="I107" s="122"/>
      <c r="J107" s="122"/>
      <c r="K107" s="122"/>
      <c r="L107" s="122"/>
      <c r="M107" s="122"/>
      <c r="N107" s="122"/>
      <c r="O107" s="122"/>
      <c r="P107" s="122"/>
      <c r="Q107" s="122"/>
      <c r="R107" s="122"/>
      <c r="S107" s="123"/>
      <c r="T107" s="123"/>
      <c r="U107" s="123"/>
      <c r="V107" s="123"/>
      <c r="W107" s="123"/>
      <c r="X107" s="123"/>
      <c r="Y107" s="123"/>
      <c r="Z107" s="123"/>
      <c r="AA107" s="123"/>
      <c r="AB107" s="123"/>
      <c r="AC107" s="123"/>
      <c r="AD107" s="123"/>
      <c r="AE107" s="116"/>
      <c r="AF107" s="116"/>
      <c r="AG107" s="116"/>
      <c r="AH107" s="116"/>
      <c r="AI107" s="116"/>
      <c r="AJ107" s="116"/>
      <c r="AK107" s="116"/>
      <c r="AL107" s="116"/>
      <c r="AM107" s="116"/>
      <c r="AN107" s="116"/>
      <c r="AO107" s="116"/>
      <c r="AP107" s="116"/>
      <c r="AQ107" s="116"/>
      <c r="AR107" s="116"/>
      <c r="AS107" s="116"/>
      <c r="AT107" s="116"/>
      <c r="AU107" s="116"/>
      <c r="AV107" s="116"/>
      <c r="AW107" s="116"/>
      <c r="AX107" s="116"/>
      <c r="AY107" s="116"/>
      <c r="AZ107" s="116"/>
      <c r="BA107" s="116"/>
      <c r="BB107" s="116"/>
    </row>
    <row r="108" spans="2:72" ht="14.55" customHeight="1" x14ac:dyDescent="0.3">
      <c r="B108" s="42" t="s">
        <v>120</v>
      </c>
      <c r="C108" s="47"/>
      <c r="D108" s="47"/>
      <c r="E108" s="47"/>
      <c r="F108" s="47"/>
      <c r="G108" s="124">
        <f t="shared" ref="G108:N109" si="138">G5/C5-1</f>
        <v>-1.1206896551724133E-2</v>
      </c>
      <c r="H108" s="124">
        <f t="shared" si="138"/>
        <v>-2.4096385542168641E-2</v>
      </c>
      <c r="I108" s="124">
        <f t="shared" si="138"/>
        <v>-1.6281062553556103E-2</v>
      </c>
      <c r="J108" s="124">
        <f t="shared" si="138"/>
        <v>-4.7377326565143818E-2</v>
      </c>
      <c r="K108" s="124">
        <f t="shared" si="138"/>
        <v>-4.4463818657367038E-2</v>
      </c>
      <c r="L108" s="124">
        <f t="shared" si="138"/>
        <v>-4.0564373897707284E-2</v>
      </c>
      <c r="M108" s="124">
        <f t="shared" si="138"/>
        <v>-5.0522648083623722E-2</v>
      </c>
      <c r="N108" s="124">
        <f t="shared" si="138"/>
        <v>-2.6642984014209614E-2</v>
      </c>
      <c r="O108" s="122"/>
      <c r="P108" s="122"/>
      <c r="Q108" s="122"/>
      <c r="R108" s="122"/>
      <c r="S108" s="123"/>
      <c r="T108" s="123"/>
      <c r="U108" s="123"/>
      <c r="V108" s="123"/>
      <c r="W108" s="123"/>
      <c r="X108" s="123"/>
      <c r="Y108" s="123"/>
      <c r="Z108" s="123"/>
      <c r="AA108" s="123"/>
      <c r="AB108" s="123"/>
      <c r="AC108" s="123"/>
      <c r="AD108" s="123"/>
      <c r="AE108" s="116"/>
      <c r="AF108" s="116"/>
      <c r="AG108" s="116"/>
      <c r="AH108" s="116"/>
      <c r="AI108" s="116"/>
      <c r="AJ108" s="116"/>
      <c r="AK108" s="116"/>
      <c r="AL108" s="116"/>
      <c r="AM108" s="116"/>
      <c r="AN108" s="116"/>
      <c r="AO108" s="116"/>
      <c r="AP108" s="116"/>
      <c r="AQ108" s="116"/>
      <c r="AR108" s="116"/>
      <c r="AS108" s="116"/>
      <c r="AT108" s="116"/>
      <c r="AU108" s="116"/>
      <c r="AV108" s="116"/>
      <c r="AW108" s="116"/>
      <c r="AX108" s="116"/>
      <c r="AY108" s="116"/>
      <c r="AZ108" s="116"/>
      <c r="BA108" s="116"/>
      <c r="BB108" s="116"/>
    </row>
    <row r="109" spans="2:72" ht="14.55" customHeight="1" x14ac:dyDescent="0.3">
      <c r="B109" s="42" t="s">
        <v>122</v>
      </c>
      <c r="C109" s="47"/>
      <c r="D109" s="47"/>
      <c r="E109" s="47"/>
      <c r="F109" s="47"/>
      <c r="G109" s="124">
        <f t="shared" si="138"/>
        <v>0.2167101827676241</v>
      </c>
      <c r="H109" s="124">
        <f t="shared" si="138"/>
        <v>0.17577197149643697</v>
      </c>
      <c r="I109" s="124">
        <f t="shared" si="138"/>
        <v>0.20763723150357993</v>
      </c>
      <c r="J109" s="124">
        <f t="shared" si="138"/>
        <v>0.13913043478260878</v>
      </c>
      <c r="K109" s="124">
        <f t="shared" si="138"/>
        <v>0.12446351931330479</v>
      </c>
      <c r="L109" s="124">
        <f t="shared" si="138"/>
        <v>0.14343434343434347</v>
      </c>
      <c r="M109" s="124">
        <f t="shared" si="138"/>
        <v>0.16403162055335962</v>
      </c>
      <c r="N109" s="124">
        <f t="shared" si="138"/>
        <v>0.21755725190839703</v>
      </c>
      <c r="O109" s="122"/>
      <c r="P109" s="122"/>
      <c r="Q109" s="122"/>
      <c r="R109" s="122"/>
      <c r="S109" s="123"/>
      <c r="T109" s="123"/>
      <c r="U109" s="123"/>
      <c r="V109" s="123"/>
      <c r="W109" s="123"/>
      <c r="X109" s="123"/>
      <c r="Y109" s="123"/>
      <c r="Z109" s="123"/>
      <c r="AA109" s="123"/>
      <c r="AB109" s="123"/>
      <c r="AC109" s="123"/>
      <c r="AD109" s="123"/>
      <c r="AE109" s="116"/>
      <c r="AF109" s="116"/>
      <c r="AG109" s="116"/>
      <c r="AH109" s="116"/>
      <c r="AI109" s="116"/>
      <c r="AJ109" s="116"/>
      <c r="AK109" s="116"/>
      <c r="AL109" s="116"/>
      <c r="AM109" s="116"/>
      <c r="AN109" s="116"/>
      <c r="AO109" s="116"/>
      <c r="AP109" s="116"/>
      <c r="AQ109" s="116"/>
      <c r="AR109" s="116"/>
      <c r="AS109" s="116"/>
      <c r="AT109" s="116"/>
      <c r="AU109" s="116"/>
      <c r="AV109" s="116"/>
      <c r="AW109" s="116"/>
      <c r="AX109" s="116"/>
      <c r="AY109" s="116"/>
      <c r="AZ109" s="116"/>
      <c r="BA109" s="116"/>
      <c r="BB109" s="116"/>
    </row>
    <row r="110" spans="2:72" ht="14.55" customHeight="1" x14ac:dyDescent="0.3">
      <c r="B110" s="42" t="s">
        <v>121</v>
      </c>
      <c r="C110" s="47"/>
      <c r="D110" s="124">
        <f t="shared" ref="D110:N110" si="139">D5/C5-1</f>
        <v>1.7241379310344307E-3</v>
      </c>
      <c r="E110" s="124">
        <f t="shared" si="139"/>
        <v>4.3029259896729677E-3</v>
      </c>
      <c r="F110" s="124">
        <f t="shared" si="139"/>
        <v>1.2853470437018011E-2</v>
      </c>
      <c r="G110" s="124">
        <f t="shared" si="139"/>
        <v>-2.9610829103214886E-2</v>
      </c>
      <c r="H110" s="124">
        <f t="shared" si="139"/>
        <v>-1.1333914559720992E-2</v>
      </c>
      <c r="I110" s="124">
        <f t="shared" si="139"/>
        <v>1.2345679012345734E-2</v>
      </c>
      <c r="J110" s="124">
        <f t="shared" si="139"/>
        <v>-1.9163763066202044E-2</v>
      </c>
      <c r="K110" s="124">
        <f t="shared" si="139"/>
        <v>-2.6642984014209614E-2</v>
      </c>
      <c r="L110" s="124">
        <f t="shared" si="139"/>
        <v>-7.2992700729926918E-3</v>
      </c>
      <c r="M110" s="124">
        <f t="shared" si="139"/>
        <v>1.8382352941177516E-3</v>
      </c>
      <c r="N110" s="124">
        <f t="shared" si="139"/>
        <v>5.5045871559633586E-3</v>
      </c>
      <c r="O110" s="122"/>
      <c r="P110" s="122"/>
      <c r="Q110" s="122"/>
      <c r="R110" s="122"/>
      <c r="S110" s="123"/>
      <c r="T110" s="123"/>
      <c r="U110" s="123"/>
      <c r="V110" s="123"/>
      <c r="W110" s="123"/>
      <c r="X110" s="123"/>
      <c r="Y110" s="123"/>
      <c r="Z110" s="123"/>
      <c r="AA110" s="123"/>
      <c r="AB110" s="123"/>
      <c r="AC110" s="123"/>
      <c r="AD110" s="123"/>
      <c r="AE110" s="116"/>
      <c r="AF110" s="116"/>
      <c r="AG110" s="116"/>
      <c r="AH110" s="116"/>
      <c r="AI110" s="116"/>
      <c r="AJ110" s="116"/>
      <c r="AK110" s="116"/>
      <c r="AL110" s="116"/>
      <c r="AM110" s="116"/>
      <c r="AN110" s="116"/>
      <c r="AO110" s="116"/>
      <c r="AP110" s="116"/>
      <c r="AQ110" s="116"/>
      <c r="AR110" s="116"/>
      <c r="AS110" s="116"/>
      <c r="AT110" s="116"/>
      <c r="AU110" s="116"/>
      <c r="AV110" s="116"/>
      <c r="AW110" s="116"/>
      <c r="AX110" s="116"/>
      <c r="AY110" s="116"/>
      <c r="AZ110" s="116"/>
      <c r="BA110" s="116"/>
      <c r="BB110" s="116"/>
    </row>
    <row r="111" spans="2:72" ht="14.55" customHeight="1" x14ac:dyDescent="0.3">
      <c r="B111" s="42" t="s">
        <v>123</v>
      </c>
      <c r="C111" s="47"/>
      <c r="D111" s="124">
        <f t="shared" ref="D111:N111" si="140">D6/C6-1</f>
        <v>9.9216710182767676E-2</v>
      </c>
      <c r="E111" s="124">
        <f t="shared" si="140"/>
        <v>-4.7505938242280443E-3</v>
      </c>
      <c r="F111" s="124">
        <f t="shared" si="140"/>
        <v>9.7852028639618061E-2</v>
      </c>
      <c r="G111" s="124">
        <f t="shared" si="140"/>
        <v>1.304347826086949E-2</v>
      </c>
      <c r="H111" s="124">
        <f t="shared" si="140"/>
        <v>6.2231759656652397E-2</v>
      </c>
      <c r="I111" s="124">
        <f t="shared" si="140"/>
        <v>2.2222222222222143E-2</v>
      </c>
      <c r="J111" s="124">
        <f t="shared" si="140"/>
        <v>3.5573122529644285E-2</v>
      </c>
      <c r="K111" s="124">
        <f t="shared" si="140"/>
        <v>0</v>
      </c>
      <c r="L111" s="124">
        <f t="shared" si="140"/>
        <v>8.0152671755725269E-2</v>
      </c>
      <c r="M111" s="124">
        <f t="shared" si="140"/>
        <v>4.0636042402826922E-2</v>
      </c>
      <c r="N111" s="124">
        <f t="shared" si="140"/>
        <v>8.3191850594227512E-2</v>
      </c>
      <c r="O111" s="122"/>
      <c r="P111" s="122"/>
      <c r="Q111" s="122"/>
      <c r="R111" s="122"/>
      <c r="S111" s="123"/>
      <c r="T111" s="123"/>
      <c r="U111" s="123"/>
      <c r="V111" s="123"/>
      <c r="W111" s="123"/>
      <c r="X111" s="123"/>
      <c r="Y111" s="123"/>
      <c r="Z111" s="123"/>
      <c r="AA111" s="123"/>
      <c r="AB111" s="123"/>
      <c r="AC111" s="123"/>
      <c r="AD111" s="123"/>
      <c r="AE111" s="116"/>
      <c r="AF111" s="116"/>
      <c r="AG111" s="116"/>
      <c r="AH111" s="116"/>
      <c r="AI111" s="116"/>
      <c r="AJ111" s="116"/>
      <c r="AK111" s="116"/>
      <c r="AL111" s="116"/>
      <c r="AM111" s="116"/>
      <c r="AN111" s="116"/>
      <c r="AO111" s="116"/>
      <c r="AP111" s="116"/>
      <c r="AQ111" s="116"/>
      <c r="AR111" s="116"/>
      <c r="AS111" s="116"/>
      <c r="AT111" s="116"/>
      <c r="AU111" s="116"/>
      <c r="AV111" s="116"/>
      <c r="AW111" s="116"/>
      <c r="AX111" s="116"/>
      <c r="AY111" s="116"/>
      <c r="AZ111" s="116"/>
      <c r="BA111" s="116"/>
      <c r="BB111" s="116"/>
    </row>
    <row r="112" spans="2:72" ht="14.55" customHeight="1" x14ac:dyDescent="0.3">
      <c r="B112" s="38" t="s">
        <v>124</v>
      </c>
      <c r="C112" s="47"/>
      <c r="D112" s="47"/>
      <c r="E112" s="47"/>
      <c r="F112" s="47"/>
      <c r="G112" s="124">
        <f t="shared" ref="G112:N112" si="141">G7/C7-1</f>
        <v>-0.12328767123287676</v>
      </c>
      <c r="H112" s="124">
        <f t="shared" si="141"/>
        <v>-0.16056338028169015</v>
      </c>
      <c r="I112" s="124">
        <f t="shared" si="141"/>
        <v>-0.22535211267605637</v>
      </c>
      <c r="J112" s="124">
        <f t="shared" si="141"/>
        <v>-0.24853801169590639</v>
      </c>
      <c r="K112" s="124">
        <f t="shared" si="141"/>
        <v>-0.30312499999999998</v>
      </c>
      <c r="L112" s="124">
        <f t="shared" si="141"/>
        <v>-0.31208053691275173</v>
      </c>
      <c r="M112" s="124">
        <f t="shared" si="141"/>
        <v>-0.33090909090909093</v>
      </c>
      <c r="N112" s="124">
        <f t="shared" si="141"/>
        <v>-0.33463035019455256</v>
      </c>
      <c r="O112" s="122"/>
      <c r="P112" s="122"/>
      <c r="Q112" s="122"/>
      <c r="R112" s="122"/>
      <c r="S112" s="123"/>
      <c r="T112" s="123"/>
      <c r="U112" s="123"/>
      <c r="V112" s="123"/>
      <c r="W112" s="123"/>
      <c r="X112" s="123"/>
      <c r="Y112" s="123"/>
      <c r="Z112" s="123"/>
      <c r="AA112" s="123"/>
      <c r="AB112" s="123"/>
      <c r="AC112" s="123"/>
      <c r="AD112" s="123"/>
      <c r="AE112" s="116"/>
      <c r="AF112" s="116"/>
      <c r="AG112" s="116"/>
      <c r="AH112" s="116"/>
      <c r="AI112" s="116"/>
      <c r="AJ112" s="116"/>
      <c r="AK112" s="116"/>
      <c r="AL112" s="116"/>
      <c r="AM112" s="116"/>
      <c r="AN112" s="116"/>
      <c r="AO112" s="116"/>
      <c r="AP112" s="116"/>
      <c r="AQ112" s="116"/>
      <c r="AR112" s="116"/>
      <c r="AS112" s="116"/>
      <c r="AT112" s="116"/>
      <c r="AU112" s="116"/>
      <c r="AV112" s="116"/>
      <c r="AW112" s="116"/>
      <c r="AX112" s="116"/>
      <c r="AY112" s="116"/>
      <c r="AZ112" s="116"/>
      <c r="BA112" s="116"/>
      <c r="BB112" s="116"/>
    </row>
    <row r="113" spans="1:72" ht="14.55" customHeight="1" x14ac:dyDescent="0.3">
      <c r="C113" s="47"/>
      <c r="D113" s="47"/>
      <c r="E113" s="47"/>
      <c r="F113" s="47"/>
      <c r="G113" s="47"/>
      <c r="H113" s="47"/>
      <c r="I113" s="47"/>
      <c r="J113" s="47"/>
      <c r="K113" s="47"/>
      <c r="L113" s="47"/>
      <c r="M113" s="47"/>
      <c r="N113" s="47"/>
      <c r="O113" s="47"/>
      <c r="P113" s="47"/>
      <c r="Q113" s="47"/>
      <c r="R113" s="47"/>
      <c r="S113" s="47"/>
      <c r="T113" s="47"/>
      <c r="U113" s="47"/>
      <c r="V113" s="47"/>
      <c r="W113" s="47"/>
      <c r="X113" s="47"/>
      <c r="Y113" s="47"/>
      <c r="Z113" s="47"/>
      <c r="AA113" s="47"/>
      <c r="AB113" s="47"/>
      <c r="AC113" s="47"/>
      <c r="AD113" s="47"/>
      <c r="AE113" s="115"/>
      <c r="AF113" s="115"/>
      <c r="AG113" s="115"/>
      <c r="AH113" s="115"/>
      <c r="AI113" s="115"/>
      <c r="AJ113" s="115"/>
      <c r="AK113" s="115"/>
      <c r="AL113" s="115"/>
      <c r="AM113" s="115"/>
      <c r="AN113" s="115"/>
      <c r="AO113" s="115"/>
      <c r="AP113" s="115"/>
      <c r="AQ113" s="115"/>
      <c r="AR113" s="115"/>
      <c r="AS113" s="115"/>
      <c r="AT113" s="115"/>
      <c r="AU113" s="115"/>
      <c r="AV113" s="115"/>
      <c r="AW113" s="115"/>
      <c r="AX113" s="115"/>
      <c r="AY113" s="115"/>
      <c r="AZ113" s="115"/>
      <c r="BA113" s="115"/>
      <c r="BB113" s="115"/>
    </row>
    <row r="114" spans="1:72" ht="14.55" customHeight="1" x14ac:dyDescent="0.3">
      <c r="C114" s="47"/>
      <c r="D114" s="47"/>
      <c r="E114" s="47"/>
      <c r="F114" s="47"/>
      <c r="G114" s="47"/>
      <c r="H114" s="47"/>
      <c r="I114" s="47"/>
      <c r="J114" s="47"/>
      <c r="K114" s="47"/>
      <c r="L114" s="47"/>
      <c r="M114" s="47"/>
      <c r="N114" s="47"/>
      <c r="O114" s="47"/>
      <c r="P114" s="47"/>
      <c r="Q114" s="47"/>
      <c r="R114" s="47"/>
      <c r="S114" s="47"/>
      <c r="T114" s="47"/>
      <c r="U114" s="47"/>
      <c r="V114" s="47"/>
      <c r="W114" s="47"/>
      <c r="X114" s="47"/>
      <c r="Y114" s="47"/>
      <c r="Z114" s="47"/>
      <c r="AA114" s="47"/>
      <c r="AB114" s="47"/>
      <c r="AC114" s="47"/>
      <c r="AD114" s="47"/>
      <c r="AE114" s="115"/>
      <c r="AF114" s="115"/>
      <c r="AG114" s="115"/>
      <c r="AH114" s="115"/>
      <c r="AI114" s="115"/>
      <c r="AJ114" s="115"/>
      <c r="AK114" s="115"/>
      <c r="AL114" s="115"/>
      <c r="AM114" s="115"/>
      <c r="AN114" s="115"/>
      <c r="AO114" s="115"/>
      <c r="AP114" s="115"/>
      <c r="AQ114" s="115"/>
      <c r="AR114" s="115"/>
      <c r="AS114" s="115"/>
      <c r="AT114" s="115"/>
      <c r="AU114" s="115"/>
      <c r="AV114" s="115"/>
      <c r="AW114" s="115"/>
      <c r="AX114" s="115"/>
      <c r="AY114" s="115"/>
      <c r="AZ114" s="115"/>
      <c r="BA114" s="115"/>
      <c r="BB114" s="115"/>
    </row>
    <row r="115" spans="1:72" ht="14.55" customHeight="1" x14ac:dyDescent="0.3">
      <c r="B115" s="38" t="s">
        <v>68</v>
      </c>
      <c r="C115" s="124">
        <f t="shared" ref="C115:N115" si="142">C6/C10</f>
        <v>0.18811394891944991</v>
      </c>
      <c r="D115" s="124">
        <f t="shared" si="142"/>
        <v>0.20230658337337817</v>
      </c>
      <c r="E115" s="124">
        <f t="shared" si="142"/>
        <v>0.20280735721200388</v>
      </c>
      <c r="F115" s="124">
        <f t="shared" si="142"/>
        <v>0.21790620558976789</v>
      </c>
      <c r="G115" s="124">
        <f t="shared" si="142"/>
        <v>0.22555663117134558</v>
      </c>
      <c r="H115" s="124">
        <f t="shared" si="142"/>
        <v>0.23994183228308288</v>
      </c>
      <c r="I115" s="124">
        <f t="shared" si="142"/>
        <v>0.24670892247684056</v>
      </c>
      <c r="J115" s="124">
        <f t="shared" si="142"/>
        <v>0.25889328063241107</v>
      </c>
      <c r="K115" s="124">
        <f t="shared" si="142"/>
        <v>0.26830517153097799</v>
      </c>
      <c r="L115" s="124">
        <f t="shared" si="142"/>
        <v>0.28951406649616368</v>
      </c>
      <c r="M115" s="124">
        <f t="shared" si="142"/>
        <v>0.30267214799588898</v>
      </c>
      <c r="N115" s="124">
        <f t="shared" si="142"/>
        <v>0.32092555331991951</v>
      </c>
      <c r="O115" s="122"/>
      <c r="P115" s="122"/>
      <c r="Q115" s="122"/>
      <c r="R115" s="122"/>
      <c r="S115" s="122"/>
      <c r="T115" s="122"/>
      <c r="U115" s="122"/>
      <c r="V115" s="122"/>
      <c r="W115" s="122"/>
      <c r="X115" s="122"/>
      <c r="Y115" s="122"/>
      <c r="Z115" s="123"/>
      <c r="AA115" s="123"/>
      <c r="AB115" s="123"/>
      <c r="AC115" s="123"/>
      <c r="AD115" s="123"/>
      <c r="AE115" s="116"/>
      <c r="AF115" s="116"/>
      <c r="AG115" s="116"/>
      <c r="AH115" s="116"/>
      <c r="AI115" s="124"/>
      <c r="AJ115" s="116"/>
      <c r="AK115" s="116"/>
      <c r="AL115" s="116"/>
      <c r="AM115" s="116"/>
      <c r="AN115" s="116"/>
      <c r="AO115" s="116"/>
      <c r="AP115" s="124"/>
      <c r="AQ115" s="124"/>
      <c r="AR115" s="116"/>
      <c r="AS115" s="116"/>
      <c r="AT115" s="116"/>
      <c r="AU115" s="116"/>
      <c r="AV115" s="116"/>
      <c r="AW115" s="116"/>
      <c r="AX115" s="116"/>
      <c r="AY115" s="116"/>
      <c r="AZ115" s="116"/>
      <c r="BA115" s="116"/>
      <c r="BB115" s="116"/>
    </row>
    <row r="116" spans="1:72" ht="14.55" customHeight="1" x14ac:dyDescent="0.3">
      <c r="C116" s="47"/>
      <c r="D116" s="47"/>
      <c r="E116" s="47"/>
      <c r="F116" s="47"/>
      <c r="G116" s="47"/>
      <c r="H116" s="47"/>
      <c r="I116" s="47"/>
      <c r="J116" s="47"/>
      <c r="K116" s="47"/>
      <c r="L116" s="47"/>
      <c r="M116" s="47"/>
      <c r="N116" s="47"/>
      <c r="O116" s="47"/>
      <c r="P116" s="47"/>
      <c r="Q116" s="47"/>
      <c r="R116" s="47"/>
      <c r="S116" s="47"/>
      <c r="T116" s="47"/>
      <c r="U116" s="47"/>
      <c r="V116" s="47"/>
      <c r="W116" s="47"/>
      <c r="X116" s="47"/>
      <c r="Y116" s="47"/>
      <c r="Z116" s="47"/>
      <c r="AA116" s="47"/>
      <c r="AB116" s="47"/>
      <c r="AC116" s="47"/>
      <c r="AD116" s="47"/>
      <c r="AE116" s="115"/>
      <c r="AF116" s="115"/>
      <c r="AG116" s="115"/>
      <c r="AH116" s="115"/>
      <c r="AI116" s="115"/>
      <c r="AJ116" s="115"/>
      <c r="AK116" s="115"/>
      <c r="AL116" s="115"/>
      <c r="AM116" s="115"/>
      <c r="AN116" s="115"/>
      <c r="AO116" s="115"/>
      <c r="AP116" s="115"/>
      <c r="AQ116" s="115"/>
      <c r="AR116" s="115"/>
      <c r="AS116" s="115"/>
      <c r="AT116" s="115"/>
      <c r="AU116" s="115"/>
      <c r="AV116" s="115"/>
      <c r="AW116" s="115"/>
      <c r="AX116" s="115"/>
      <c r="AY116" s="115"/>
      <c r="AZ116" s="115"/>
      <c r="BA116" s="115"/>
      <c r="BB116" s="115"/>
    </row>
    <row r="117" spans="1:72" ht="14.55" customHeight="1" x14ac:dyDescent="0.3">
      <c r="B117" s="38" t="s">
        <v>20</v>
      </c>
      <c r="C117" s="125"/>
      <c r="D117" s="125"/>
      <c r="E117" s="125"/>
      <c r="F117" s="125"/>
      <c r="G117" s="124">
        <f t="shared" ref="G117:BB117" si="143">G32/C32-1</f>
        <v>8.9929742388758838E-2</v>
      </c>
      <c r="H117" s="124">
        <f t="shared" si="143"/>
        <v>3.238866396761142E-2</v>
      </c>
      <c r="I117" s="124">
        <f t="shared" si="143"/>
        <v>1.0379061371841081E-2</v>
      </c>
      <c r="J117" s="124">
        <f t="shared" si="143"/>
        <v>-3.5559410234171751E-2</v>
      </c>
      <c r="K117" s="124">
        <f t="shared" si="143"/>
        <v>-8.9385474860335212E-2</v>
      </c>
      <c r="L117" s="124">
        <f t="shared" si="143"/>
        <v>-9.2810457516339873E-2</v>
      </c>
      <c r="M117" s="124">
        <f t="shared" si="143"/>
        <v>-7.771326485037966E-2</v>
      </c>
      <c r="N117" s="124">
        <f t="shared" si="143"/>
        <v>-4.5413669064748197E-2</v>
      </c>
      <c r="O117" s="124">
        <f t="shared" si="143"/>
        <v>1.4157621519584662E-2</v>
      </c>
      <c r="P117" s="124">
        <f t="shared" si="143"/>
        <v>1.344860710854956E-2</v>
      </c>
      <c r="Q117" s="124">
        <f t="shared" si="143"/>
        <v>4.8910411622276051E-2</v>
      </c>
      <c r="R117" s="124">
        <f t="shared" si="143"/>
        <v>2.4964672633066343E-2</v>
      </c>
      <c r="S117" s="124">
        <f t="shared" si="143"/>
        <v>-4.1879944160074789E-3</v>
      </c>
      <c r="T117" s="124">
        <f t="shared" si="143"/>
        <v>-3.7914691943128354E-3</v>
      </c>
      <c r="U117" s="116">
        <f t="shared" si="143"/>
        <v>-4.6168051708217472E-3</v>
      </c>
      <c r="V117" s="116">
        <f t="shared" si="143"/>
        <v>1.7463235294117752E-2</v>
      </c>
      <c r="W117" s="116">
        <f t="shared" si="143"/>
        <v>0.10981308411214963</v>
      </c>
      <c r="X117" s="116">
        <f t="shared" si="143"/>
        <v>0.11084681255946727</v>
      </c>
      <c r="Y117" s="116">
        <f t="shared" si="143"/>
        <v>8.2096474953617715E-2</v>
      </c>
      <c r="Z117" s="116">
        <f t="shared" si="143"/>
        <v>7.3170731707317138E-2</v>
      </c>
      <c r="AA117" s="116">
        <f t="shared" si="143"/>
        <v>-5.8105263157894771E-2</v>
      </c>
      <c r="AB117" s="116">
        <f t="shared" si="143"/>
        <v>-3.8115631691648777E-2</v>
      </c>
      <c r="AC117" s="116">
        <f t="shared" si="143"/>
        <v>-2.9575653664809298E-2</v>
      </c>
      <c r="AD117" s="116">
        <f t="shared" si="143"/>
        <v>2.9040404040403978E-2</v>
      </c>
      <c r="AE117" s="116">
        <f t="shared" si="143"/>
        <v>-2.2351363433169569E-3</v>
      </c>
      <c r="AF117" s="116">
        <f t="shared" si="143"/>
        <v>-1.7809439002671401E-2</v>
      </c>
      <c r="AG117" s="116">
        <f t="shared" si="143"/>
        <v>9.2756183745583698E-3</v>
      </c>
      <c r="AH117" s="116">
        <f t="shared" si="143"/>
        <v>5.9304703476482645E-2</v>
      </c>
      <c r="AI117" s="116">
        <f t="shared" si="143"/>
        <v>4.8835125448028593E-2</v>
      </c>
      <c r="AJ117" s="116">
        <f t="shared" si="143"/>
        <v>-2.4932003626473298E-2</v>
      </c>
      <c r="AK117" s="116">
        <f t="shared" si="143"/>
        <v>-3.1509846827133425E-2</v>
      </c>
      <c r="AL117" s="116">
        <f t="shared" si="143"/>
        <v>-0.12702702702702706</v>
      </c>
      <c r="AM117" s="116">
        <f t="shared" si="143"/>
        <v>-4.314395557454076E-2</v>
      </c>
      <c r="AN117" s="116">
        <f t="shared" si="143"/>
        <v>5.7182705718270554E-2</v>
      </c>
      <c r="AO117" s="116">
        <f t="shared" si="143"/>
        <v>2.6208766380479087E-2</v>
      </c>
      <c r="AP117" s="116">
        <f t="shared" si="143"/>
        <v>8.6245024325519726E-2</v>
      </c>
      <c r="AQ117" s="116">
        <f t="shared" si="143"/>
        <v>7.4107142857142927E-2</v>
      </c>
      <c r="AR117" s="116">
        <f t="shared" si="143"/>
        <v>6.5963060686015762E-2</v>
      </c>
      <c r="AS117" s="116">
        <f t="shared" si="143"/>
        <v>5.9004843681197627E-2</v>
      </c>
      <c r="AT117" s="116">
        <f t="shared" si="143"/>
        <v>3.9902280130293066E-2</v>
      </c>
      <c r="AU117" s="116">
        <f t="shared" si="143"/>
        <v>4.9875311720698257E-2</v>
      </c>
      <c r="AV117" s="116">
        <f t="shared" si="143"/>
        <v>1.8976897689769068E-2</v>
      </c>
      <c r="AW117" s="116">
        <f t="shared" si="143"/>
        <v>1.538461538461533E-2</v>
      </c>
      <c r="AX117" s="116">
        <f t="shared" si="143"/>
        <v>7.3610023492560739E-2</v>
      </c>
      <c r="AY117" s="116">
        <f t="shared" si="143"/>
        <v>3.0482977038796433E-2</v>
      </c>
      <c r="AZ117" s="116">
        <f t="shared" si="143"/>
        <v>4.6963562753036481E-2</v>
      </c>
      <c r="BA117" s="116">
        <f t="shared" si="143"/>
        <v>5.4873054873054938E-2</v>
      </c>
      <c r="BB117" s="116">
        <f t="shared" si="143"/>
        <v>1.0576221735959068E-2</v>
      </c>
    </row>
    <row r="118" spans="1:72" ht="14.55" customHeight="1" x14ac:dyDescent="0.3">
      <c r="B118" s="38" t="s">
        <v>21</v>
      </c>
      <c r="C118" s="47"/>
      <c r="D118" s="122"/>
      <c r="E118" s="124">
        <f t="shared" ref="E118:AZ118" si="144">E32/D32-1</f>
        <v>-3.1488978857400207E-3</v>
      </c>
      <c r="F118" s="124">
        <f t="shared" si="144"/>
        <v>4.0613718411552258E-2</v>
      </c>
      <c r="G118" s="124">
        <f t="shared" si="144"/>
        <v>9.1066782307025473E-3</v>
      </c>
      <c r="H118" s="124">
        <f t="shared" si="144"/>
        <v>-1.3751611516974682E-2</v>
      </c>
      <c r="I118" s="124">
        <f t="shared" si="144"/>
        <v>-2.4400871459694939E-2</v>
      </c>
      <c r="J118" s="124">
        <f t="shared" si="144"/>
        <v>-6.6994193836533711E-3</v>
      </c>
      <c r="K118" s="124">
        <f t="shared" si="144"/>
        <v>-4.7212230215827322E-2</v>
      </c>
      <c r="L118" s="124">
        <f t="shared" si="144"/>
        <v>-1.7461066540821135E-2</v>
      </c>
      <c r="M118" s="124">
        <f t="shared" si="144"/>
        <v>-8.1652257444764231E-3</v>
      </c>
      <c r="N118" s="124">
        <f t="shared" si="144"/>
        <v>2.8087167070217856E-2</v>
      </c>
      <c r="O118" s="124">
        <f t="shared" si="144"/>
        <v>1.22468205369759E-2</v>
      </c>
      <c r="P118" s="124">
        <f t="shared" si="144"/>
        <v>-1.814797580269889E-2</v>
      </c>
      <c r="Q118" s="124">
        <f t="shared" si="144"/>
        <v>2.6540284360189625E-2</v>
      </c>
      <c r="R118" s="124">
        <f t="shared" si="144"/>
        <v>4.6168051708217472E-3</v>
      </c>
      <c r="S118" s="124">
        <f t="shared" si="144"/>
        <v>-1.6544117647058876E-2</v>
      </c>
      <c r="T118" s="124">
        <f t="shared" si="144"/>
        <v>-1.7757009345794383E-2</v>
      </c>
      <c r="U118" s="116">
        <f t="shared" si="144"/>
        <v>2.5689819219790744E-2</v>
      </c>
      <c r="V118" s="116">
        <f t="shared" si="144"/>
        <v>2.6901669758812696E-2</v>
      </c>
      <c r="W118" s="116">
        <f t="shared" si="144"/>
        <v>7.2719060523938506E-2</v>
      </c>
      <c r="X118" s="116">
        <f t="shared" si="144"/>
        <v>-1.684210526315788E-2</v>
      </c>
      <c r="Y118" s="116">
        <f t="shared" si="144"/>
        <v>-8.565310492505418E-4</v>
      </c>
      <c r="Z118" s="116">
        <f t="shared" si="144"/>
        <v>1.8431204457779682E-2</v>
      </c>
      <c r="AA118" s="116">
        <f t="shared" si="144"/>
        <v>-5.8501683501683499E-2</v>
      </c>
      <c r="AB118" s="116">
        <f t="shared" si="144"/>
        <v>4.0232454179705002E-3</v>
      </c>
      <c r="AC118" s="116">
        <f t="shared" si="144"/>
        <v>8.0142475512021694E-3</v>
      </c>
      <c r="AD118" s="116">
        <f t="shared" si="144"/>
        <v>7.9946996466430997E-2</v>
      </c>
      <c r="AE118" s="116">
        <f t="shared" si="144"/>
        <v>-8.7116564417177966E-2</v>
      </c>
      <c r="AF118" s="116">
        <f t="shared" si="144"/>
        <v>-1.1648745519713288E-2</v>
      </c>
      <c r="AG118" s="116">
        <f t="shared" si="144"/>
        <v>3.5811423390752495E-2</v>
      </c>
      <c r="AH118" s="116">
        <f t="shared" si="144"/>
        <v>0.1334792122538293</v>
      </c>
      <c r="AI118" s="116">
        <f t="shared" si="144"/>
        <v>-9.6138996138996125E-2</v>
      </c>
      <c r="AJ118" s="116">
        <f t="shared" si="144"/>
        <v>-8.1161896625373764E-2</v>
      </c>
      <c r="AK118" s="116">
        <f t="shared" si="144"/>
        <v>2.8823802882380178E-2</v>
      </c>
      <c r="AL118" s="116">
        <f t="shared" si="144"/>
        <v>2.1690013556258547E-2</v>
      </c>
      <c r="AM118" s="116">
        <f t="shared" si="144"/>
        <v>-9.2879256965944235E-3</v>
      </c>
      <c r="AN118" s="116">
        <f t="shared" si="144"/>
        <v>1.5178571428571486E-2</v>
      </c>
      <c r="AO118" s="116">
        <f t="shared" si="144"/>
        <v>-1.3192612137202797E-3</v>
      </c>
      <c r="AP118" s="116">
        <f t="shared" si="144"/>
        <v>8.1461911052399749E-2</v>
      </c>
      <c r="AQ118" s="116">
        <f t="shared" si="144"/>
        <v>-2.035830618892509E-2</v>
      </c>
      <c r="AR118" s="116">
        <f t="shared" si="144"/>
        <v>7.4812967581048273E-3</v>
      </c>
      <c r="AS118" s="116">
        <f t="shared" si="144"/>
        <v>-7.8382838283828082E-3</v>
      </c>
      <c r="AT118" s="116">
        <f t="shared" si="144"/>
        <v>6.1954261954261902E-2</v>
      </c>
      <c r="AU118" s="116">
        <f t="shared" si="144"/>
        <v>-1.0963194988253711E-2</v>
      </c>
      <c r="AV118" s="116">
        <f t="shared" si="144"/>
        <v>-2.2169437846397466E-2</v>
      </c>
      <c r="AW118" s="116">
        <f t="shared" si="144"/>
        <v>-1.1336032388663986E-2</v>
      </c>
      <c r="AX118" s="116">
        <f t="shared" si="144"/>
        <v>0.12285012285012287</v>
      </c>
      <c r="AY118" s="116">
        <f t="shared" si="144"/>
        <v>-5.0692924872355993E-2</v>
      </c>
      <c r="AZ118" s="116">
        <f t="shared" si="144"/>
        <v>-6.5309258547829874E-3</v>
      </c>
      <c r="BA118" s="116">
        <f t="shared" ref="BA118:BB118" si="145">BA32/AZ32-1</f>
        <v>-3.866976024748614E-3</v>
      </c>
      <c r="BB118" s="116">
        <f t="shared" si="145"/>
        <v>7.5698757763975166E-2</v>
      </c>
    </row>
    <row r="119" spans="1:72" ht="14.55" customHeight="1" x14ac:dyDescent="0.3">
      <c r="C119" s="47"/>
      <c r="D119" s="117"/>
      <c r="E119" s="117"/>
      <c r="F119" s="117"/>
      <c r="G119" s="117"/>
      <c r="H119" s="117"/>
      <c r="I119" s="117"/>
      <c r="J119" s="117"/>
      <c r="K119" s="117"/>
      <c r="L119" s="117"/>
      <c r="M119" s="117"/>
      <c r="N119" s="117"/>
      <c r="O119" s="117"/>
      <c r="P119" s="117"/>
      <c r="Q119" s="117"/>
      <c r="R119" s="117"/>
      <c r="S119" s="117"/>
      <c r="T119" s="117"/>
      <c r="U119" s="117"/>
      <c r="V119" s="117"/>
      <c r="W119" s="117"/>
      <c r="X119" s="117"/>
      <c r="Y119" s="117"/>
      <c r="Z119" s="117"/>
      <c r="AA119" s="117"/>
      <c r="AB119" s="117"/>
      <c r="AC119" s="117"/>
      <c r="AD119" s="117"/>
      <c r="AE119" s="118"/>
      <c r="AF119" s="118"/>
      <c r="AG119" s="118"/>
      <c r="AH119" s="118"/>
      <c r="AI119" s="118"/>
      <c r="AJ119" s="118"/>
      <c r="AK119" s="118"/>
      <c r="AL119" s="118"/>
      <c r="AM119" s="118"/>
      <c r="AN119" s="118"/>
      <c r="AO119" s="118"/>
      <c r="AP119" s="118"/>
      <c r="AQ119" s="118"/>
      <c r="AR119" s="118"/>
      <c r="AS119" s="118"/>
      <c r="AT119" s="118"/>
      <c r="AU119" s="118"/>
      <c r="AV119" s="118"/>
      <c r="AW119" s="118"/>
      <c r="AX119" s="118"/>
      <c r="AY119" s="118"/>
      <c r="AZ119" s="118"/>
      <c r="BA119" s="118"/>
      <c r="BB119" s="118"/>
    </row>
    <row r="120" spans="1:72" s="113" customFormat="1" ht="14.55" customHeight="1" x14ac:dyDescent="0.3">
      <c r="A120" s="111" t="s">
        <v>69</v>
      </c>
      <c r="B120" s="111"/>
      <c r="C120" s="112"/>
      <c r="D120" s="112"/>
      <c r="E120" s="112"/>
      <c r="F120" s="112"/>
      <c r="G120" s="112"/>
      <c r="H120" s="112"/>
      <c r="I120" s="112"/>
      <c r="J120" s="112"/>
      <c r="K120" s="112"/>
      <c r="L120" s="112"/>
      <c r="M120" s="112"/>
      <c r="N120" s="112"/>
      <c r="O120" s="112"/>
      <c r="P120" s="112"/>
      <c r="Q120" s="112"/>
      <c r="R120" s="112"/>
      <c r="S120" s="112"/>
      <c r="T120" s="112"/>
      <c r="U120" s="112"/>
      <c r="V120" s="112"/>
      <c r="W120" s="112"/>
      <c r="X120" s="112"/>
      <c r="Y120" s="112"/>
      <c r="Z120" s="112"/>
      <c r="AA120" s="112"/>
      <c r="AB120" s="112"/>
      <c r="AC120" s="112"/>
      <c r="AD120" s="112"/>
      <c r="AE120" s="114"/>
      <c r="AF120" s="114"/>
      <c r="AG120" s="114"/>
      <c r="AH120" s="114"/>
      <c r="AI120" s="114"/>
      <c r="AJ120" s="114"/>
      <c r="AK120" s="114"/>
      <c r="AL120" s="114"/>
      <c r="AM120" s="114"/>
      <c r="AN120" s="114"/>
      <c r="AO120" s="114"/>
      <c r="AP120" s="114"/>
      <c r="AQ120" s="114"/>
      <c r="AR120" s="114"/>
      <c r="AS120" s="114"/>
      <c r="AT120" s="114"/>
      <c r="AU120" s="114"/>
      <c r="AV120" s="114"/>
      <c r="AW120" s="114"/>
      <c r="AX120" s="114"/>
      <c r="AY120" s="114"/>
      <c r="AZ120" s="114"/>
      <c r="BA120" s="114"/>
      <c r="BB120" s="114"/>
      <c r="BC120" s="111"/>
      <c r="BD120" s="111"/>
      <c r="BE120"/>
      <c r="BF120"/>
      <c r="BG120"/>
      <c r="BH120"/>
      <c r="BI120"/>
      <c r="BJ120"/>
      <c r="BK120"/>
      <c r="BL120"/>
      <c r="BM120"/>
      <c r="BN120"/>
      <c r="BO120"/>
      <c r="BP120"/>
      <c r="BQ120"/>
      <c r="BR120"/>
      <c r="BS120"/>
      <c r="BT120"/>
    </row>
    <row r="121" spans="1:72" ht="14.55" customHeight="1" x14ac:dyDescent="0.3">
      <c r="C121" s="47"/>
      <c r="D121" s="117"/>
      <c r="E121" s="117"/>
      <c r="F121" s="117"/>
      <c r="G121" s="117"/>
      <c r="H121" s="117"/>
      <c r="I121" s="117"/>
      <c r="J121" s="117"/>
      <c r="K121" s="117"/>
      <c r="L121" s="117"/>
      <c r="M121" s="117"/>
      <c r="N121" s="117"/>
      <c r="O121" s="117"/>
      <c r="P121" s="117"/>
      <c r="Q121" s="117"/>
      <c r="R121" s="117"/>
      <c r="S121" s="117"/>
      <c r="T121" s="117"/>
      <c r="U121" s="117"/>
      <c r="V121" s="117"/>
      <c r="W121" s="117"/>
      <c r="X121" s="117"/>
      <c r="Y121" s="117"/>
      <c r="Z121" s="117"/>
      <c r="AA121" s="117"/>
      <c r="AB121" s="117"/>
      <c r="AC121" s="117"/>
      <c r="AD121" s="117"/>
      <c r="AE121" s="118"/>
      <c r="AF121" s="118"/>
      <c r="AG121" s="118"/>
      <c r="AH121" s="118"/>
      <c r="AI121" s="118"/>
      <c r="AJ121" s="118"/>
      <c r="AK121" s="118"/>
      <c r="AL121" s="118"/>
      <c r="AM121" s="118"/>
      <c r="AN121" s="118"/>
      <c r="AO121" s="118"/>
      <c r="AP121" s="118"/>
      <c r="AQ121" s="118"/>
      <c r="AR121" s="118"/>
      <c r="AS121" s="118"/>
      <c r="AT121" s="118"/>
      <c r="AU121" s="118"/>
      <c r="AV121" s="118"/>
      <c r="AW121" s="118"/>
      <c r="AX121" s="118"/>
      <c r="AY121" s="118"/>
      <c r="AZ121" s="118"/>
      <c r="BA121" s="118"/>
      <c r="BB121" s="118"/>
    </row>
    <row r="122" spans="1:72" ht="14.55" customHeight="1" x14ac:dyDescent="0.3">
      <c r="B122" s="38" t="s">
        <v>70</v>
      </c>
      <c r="C122" s="47"/>
      <c r="D122" s="117"/>
      <c r="E122" s="117"/>
      <c r="F122" s="117"/>
      <c r="G122" s="117"/>
      <c r="H122" s="117"/>
      <c r="I122" s="117"/>
      <c r="J122" s="117"/>
      <c r="K122" s="117"/>
      <c r="L122" s="117"/>
      <c r="M122" s="117"/>
      <c r="N122" s="117"/>
      <c r="O122" s="117"/>
      <c r="P122" s="117"/>
      <c r="Q122" s="117"/>
      <c r="R122" s="117"/>
      <c r="S122" s="117"/>
      <c r="T122" s="117"/>
      <c r="U122" s="117"/>
      <c r="V122" s="117"/>
      <c r="W122" s="117"/>
      <c r="X122" s="117"/>
      <c r="Y122" s="117"/>
      <c r="Z122" s="117"/>
      <c r="AA122" s="117"/>
      <c r="AB122" s="117"/>
      <c r="AC122" s="117"/>
      <c r="AD122" s="117"/>
      <c r="AE122" s="118"/>
      <c r="AF122" s="118"/>
      <c r="AG122" s="118"/>
      <c r="AH122" s="118"/>
      <c r="AI122" s="118"/>
      <c r="AJ122" s="118"/>
      <c r="AK122" s="118"/>
      <c r="AL122" s="118"/>
      <c r="AM122" s="118"/>
      <c r="AN122" s="118"/>
      <c r="AO122" s="118"/>
      <c r="AP122" s="118"/>
      <c r="AQ122" s="118"/>
      <c r="AR122" s="118"/>
      <c r="AS122" s="118"/>
      <c r="AT122" s="118"/>
      <c r="AU122" s="118"/>
      <c r="AV122" s="118"/>
      <c r="AW122" s="118"/>
      <c r="AX122" s="118"/>
      <c r="AY122" s="118"/>
      <c r="AZ122" s="118"/>
      <c r="BA122" s="118"/>
      <c r="BB122" s="118"/>
    </row>
    <row r="123" spans="1:72" ht="14.55" customHeight="1" x14ac:dyDescent="0.3">
      <c r="B123" s="42" t="s">
        <v>114</v>
      </c>
      <c r="C123" s="47"/>
      <c r="D123" s="117"/>
      <c r="E123" s="117"/>
      <c r="F123" s="117"/>
      <c r="G123" s="122"/>
      <c r="H123" s="122"/>
      <c r="I123" s="122"/>
      <c r="J123" s="122"/>
      <c r="K123" s="122"/>
      <c r="L123" s="122"/>
      <c r="M123" s="122"/>
      <c r="N123" s="122"/>
      <c r="O123" s="122"/>
      <c r="P123" s="122"/>
      <c r="Q123" s="122"/>
      <c r="R123" s="122"/>
      <c r="S123" s="122"/>
      <c r="T123" s="122"/>
      <c r="U123" s="122"/>
      <c r="V123" s="122"/>
      <c r="W123" s="122"/>
      <c r="X123" s="122"/>
      <c r="Y123" s="122"/>
      <c r="Z123" s="123"/>
      <c r="AA123" s="123"/>
      <c r="AB123" s="123"/>
      <c r="AC123" s="123"/>
      <c r="AD123" s="123"/>
      <c r="AE123" s="116"/>
      <c r="AF123" s="116"/>
      <c r="AG123" s="116"/>
      <c r="AH123" s="116"/>
      <c r="AI123" s="124"/>
      <c r="AJ123" s="116"/>
      <c r="AK123" s="116"/>
      <c r="AL123" s="116"/>
      <c r="AM123" s="116"/>
      <c r="AN123" s="116"/>
      <c r="AO123" s="116"/>
      <c r="AP123" s="124"/>
      <c r="AQ123" s="124"/>
      <c r="AR123" s="116"/>
      <c r="AS123" s="116"/>
      <c r="AT123" s="116"/>
      <c r="AU123" s="116"/>
      <c r="AV123" s="116"/>
      <c r="AW123" s="116"/>
      <c r="AX123" s="116"/>
      <c r="AY123" s="116"/>
      <c r="AZ123" s="116"/>
      <c r="BA123" s="116"/>
      <c r="BB123" s="116"/>
    </row>
    <row r="124" spans="1:72" ht="14.55" customHeight="1" x14ac:dyDescent="0.3">
      <c r="B124" s="42"/>
      <c r="C124" s="47"/>
      <c r="D124" s="117"/>
      <c r="E124" s="117"/>
      <c r="F124" s="117"/>
      <c r="G124" s="122"/>
      <c r="H124" s="122"/>
      <c r="I124" s="122"/>
      <c r="J124" s="122"/>
      <c r="K124" s="122"/>
      <c r="L124" s="122"/>
      <c r="M124" s="122"/>
      <c r="N124" s="122"/>
      <c r="O124" s="122"/>
      <c r="P124" s="122"/>
      <c r="Q124" s="122"/>
      <c r="R124" s="122"/>
      <c r="S124" s="122"/>
      <c r="T124" s="122"/>
      <c r="U124" s="122"/>
      <c r="V124" s="122"/>
      <c r="W124" s="122"/>
      <c r="X124" s="122"/>
      <c r="Y124" s="122"/>
      <c r="Z124" s="123"/>
      <c r="AA124" s="123"/>
      <c r="AB124" s="123"/>
      <c r="AC124" s="123"/>
      <c r="AD124" s="123"/>
      <c r="AE124" s="116"/>
      <c r="AF124" s="116"/>
      <c r="AG124" s="116"/>
      <c r="AH124" s="116"/>
      <c r="AI124" s="124"/>
      <c r="AJ124" s="116"/>
      <c r="AK124" s="116"/>
      <c r="AL124" s="116"/>
      <c r="AM124" s="116"/>
      <c r="AN124" s="116"/>
      <c r="AO124" s="116"/>
      <c r="AP124" s="124"/>
      <c r="AQ124" s="124"/>
      <c r="AR124" s="116"/>
      <c r="AS124" s="116"/>
      <c r="AT124" s="116"/>
      <c r="AU124" s="116"/>
      <c r="AV124" s="116"/>
      <c r="AW124" s="116"/>
      <c r="AX124" s="116"/>
      <c r="AY124" s="116"/>
      <c r="AZ124" s="116"/>
      <c r="BA124" s="116"/>
      <c r="BB124" s="116"/>
    </row>
    <row r="125" spans="1:72" ht="14.55" customHeight="1" x14ac:dyDescent="0.3">
      <c r="B125" s="42" t="s">
        <v>133</v>
      </c>
      <c r="C125" s="47"/>
      <c r="D125" s="117"/>
      <c r="E125" s="117"/>
      <c r="F125" s="117"/>
      <c r="G125" s="122"/>
      <c r="H125" s="122"/>
      <c r="I125" s="122"/>
      <c r="J125" s="122"/>
      <c r="K125" s="122"/>
      <c r="L125" s="122"/>
      <c r="M125" s="122"/>
      <c r="N125" s="122"/>
      <c r="O125" s="122"/>
      <c r="P125" s="122"/>
      <c r="Q125" s="122"/>
      <c r="R125" s="122"/>
      <c r="S125" s="122"/>
      <c r="T125" s="122"/>
      <c r="U125" s="122"/>
      <c r="V125" s="122"/>
      <c r="W125" s="124">
        <f t="shared" ref="W125:AD125" si="146">W43/S43-1</f>
        <v>0.11538461538461542</v>
      </c>
      <c r="X125" s="124">
        <f t="shared" si="146"/>
        <v>-6.6985645933014371E-2</v>
      </c>
      <c r="Y125" s="124">
        <f t="shared" si="146"/>
        <v>2.051282051282044E-2</v>
      </c>
      <c r="Z125" s="116">
        <f t="shared" si="146"/>
        <v>-7.7669902912621325E-2</v>
      </c>
      <c r="AA125" s="116">
        <f t="shared" si="146"/>
        <v>-1.4778325123152691E-2</v>
      </c>
      <c r="AB125" s="116">
        <f t="shared" si="146"/>
        <v>5.12820512820511E-3</v>
      </c>
      <c r="AC125" s="116">
        <f t="shared" si="146"/>
        <v>4.5226130653266416E-2</v>
      </c>
      <c r="AD125" s="116">
        <f t="shared" si="146"/>
        <v>0.47368421052631571</v>
      </c>
      <c r="AE125" s="126">
        <v>-5.5000000000000049E-2</v>
      </c>
      <c r="AF125" s="126">
        <v>-6.6326530612244916E-2</v>
      </c>
      <c r="AG125" s="126">
        <v>-0.18269230769230771</v>
      </c>
      <c r="AH125" s="126">
        <v>-0.47857142857142854</v>
      </c>
      <c r="AI125" s="126">
        <v>-0.19047619047619047</v>
      </c>
      <c r="AJ125" s="126">
        <v>-6.0109289617486295E-2</v>
      </c>
      <c r="AK125" s="126">
        <v>-0.11764705882352944</v>
      </c>
      <c r="AL125" s="116">
        <f t="shared" ref="AL125:BB125" si="147">AL43/AH43-1</f>
        <v>0.21904761904761916</v>
      </c>
      <c r="AM125" s="116">
        <f t="shared" si="147"/>
        <v>7.2727272727272751E-2</v>
      </c>
      <c r="AN125" s="116">
        <f t="shared" si="147"/>
        <v>-8.59375E-2</v>
      </c>
      <c r="AO125" s="116">
        <f t="shared" si="147"/>
        <v>0.16822429906542058</v>
      </c>
      <c r="AP125" s="124">
        <f t="shared" si="147"/>
        <v>-7.03125E-2</v>
      </c>
      <c r="AQ125" s="124">
        <f t="shared" si="147"/>
        <v>0.11864406779661008</v>
      </c>
      <c r="AR125" s="116">
        <f t="shared" si="147"/>
        <v>0.14529914529914523</v>
      </c>
      <c r="AS125" s="116">
        <f t="shared" si="147"/>
        <v>3.2000000000000028E-2</v>
      </c>
      <c r="AT125" s="116">
        <f t="shared" si="147"/>
        <v>3.3613445378151363E-2</v>
      </c>
      <c r="AU125" s="116">
        <f t="shared" si="147"/>
        <v>4.5454545454545414E-2</v>
      </c>
      <c r="AV125" s="116">
        <f t="shared" si="147"/>
        <v>7.4626865671641784E-2</v>
      </c>
      <c r="AW125" s="116">
        <f t="shared" si="147"/>
        <v>7.7519379844961156E-2</v>
      </c>
      <c r="AX125" s="116">
        <f t="shared" si="147"/>
        <v>0.10569105691056913</v>
      </c>
      <c r="AY125" s="116">
        <f t="shared" si="147"/>
        <v>0</v>
      </c>
      <c r="AZ125" s="116">
        <f t="shared" si="147"/>
        <v>-3.472222222222221E-2</v>
      </c>
      <c r="BA125" s="116">
        <f t="shared" si="147"/>
        <v>7.1942446043165464E-2</v>
      </c>
      <c r="BB125" s="116">
        <f t="shared" si="147"/>
        <v>0.20588235294117641</v>
      </c>
    </row>
    <row r="126" spans="1:72" ht="14.55" customHeight="1" x14ac:dyDescent="0.3">
      <c r="B126" s="42" t="s">
        <v>136</v>
      </c>
      <c r="C126" s="47"/>
      <c r="D126" s="117"/>
      <c r="E126" s="117"/>
      <c r="F126" s="117"/>
      <c r="G126" s="122"/>
      <c r="H126" s="122"/>
      <c r="I126" s="122"/>
      <c r="J126" s="122"/>
      <c r="K126" s="122"/>
      <c r="L126" s="122"/>
      <c r="M126" s="122"/>
      <c r="N126" s="122"/>
      <c r="O126" s="122"/>
      <c r="P126" s="122"/>
      <c r="Q126" s="122"/>
      <c r="R126" s="122"/>
      <c r="S126" s="122" t="s">
        <v>138</v>
      </c>
      <c r="T126" s="122"/>
      <c r="U126" s="122"/>
      <c r="V126" s="122"/>
      <c r="W126" s="124">
        <f t="shared" ref="W126:AW126" si="148">W53/S53-1</f>
        <v>0.60229445506692159</v>
      </c>
      <c r="X126" s="124">
        <f t="shared" si="148"/>
        <v>0.39138576779026213</v>
      </c>
      <c r="Y126" s="124">
        <f t="shared" si="148"/>
        <v>0.35754189944134085</v>
      </c>
      <c r="Z126" s="116">
        <f t="shared" si="148"/>
        <v>0.52272727272727271</v>
      </c>
      <c r="AA126" s="116">
        <f t="shared" si="148"/>
        <v>-0.14081145584725541</v>
      </c>
      <c r="AB126" s="116">
        <f t="shared" si="148"/>
        <v>-2.6917900403768513E-2</v>
      </c>
      <c r="AC126" s="116">
        <f t="shared" si="148"/>
        <v>-6.1728395061728447E-2</v>
      </c>
      <c r="AD126" s="116">
        <f t="shared" si="148"/>
        <v>9.8258706467661661E-2</v>
      </c>
      <c r="AE126" s="116">
        <f t="shared" si="148"/>
        <v>2.2222222222222143E-2</v>
      </c>
      <c r="AF126" s="116">
        <f t="shared" si="148"/>
        <v>5.9474412171507618E-2</v>
      </c>
      <c r="AG126" s="116">
        <f t="shared" si="148"/>
        <v>0.22076023391812871</v>
      </c>
      <c r="AH126" s="116">
        <f t="shared" si="148"/>
        <v>0.29784824462061166</v>
      </c>
      <c r="AI126" s="116">
        <f t="shared" si="148"/>
        <v>0.16304347826086962</v>
      </c>
      <c r="AJ126" s="116">
        <f t="shared" si="148"/>
        <v>-0.15143603133159267</v>
      </c>
      <c r="AK126" s="116">
        <f t="shared" si="148"/>
        <v>-8.1437125748503036E-2</v>
      </c>
      <c r="AL126" s="116">
        <f t="shared" si="148"/>
        <v>-0.23734729493891793</v>
      </c>
      <c r="AM126" s="116">
        <f t="shared" si="148"/>
        <v>-0.45794392523364491</v>
      </c>
      <c r="AN126" s="116">
        <f t="shared" si="148"/>
        <v>-0.30307692307692302</v>
      </c>
      <c r="AO126" s="116">
        <f t="shared" si="148"/>
        <v>-0.32724902216427643</v>
      </c>
      <c r="AP126" s="124">
        <f t="shared" si="148"/>
        <v>-0.45423340961098402</v>
      </c>
      <c r="AQ126" s="124">
        <f t="shared" si="148"/>
        <v>3.4482758620689724E-2</v>
      </c>
      <c r="AR126" s="116">
        <f t="shared" si="148"/>
        <v>0.11920529801324498</v>
      </c>
      <c r="AS126" s="116">
        <f t="shared" si="148"/>
        <v>-7.7519379844961378E-3</v>
      </c>
      <c r="AT126" s="116">
        <f t="shared" si="148"/>
        <v>4.1928721174004258E-2</v>
      </c>
      <c r="AU126" s="116">
        <f t="shared" si="148"/>
        <v>4.1666666666666519E-3</v>
      </c>
      <c r="AV126" s="116">
        <f t="shared" si="148"/>
        <v>-4.9309664694280109E-2</v>
      </c>
      <c r="AW126" s="116">
        <f t="shared" si="148"/>
        <v>-5.859375E-2</v>
      </c>
      <c r="AX126" s="116">
        <f>AX41/AT53-1</f>
        <v>1.3641851106639837</v>
      </c>
      <c r="AY126" s="116">
        <f>AY41/AU53-1</f>
        <v>1.1514522821576763</v>
      </c>
      <c r="AZ126" s="116">
        <f>AZ41/AV53-1</f>
        <v>1.0663900414937761</v>
      </c>
      <c r="BA126" s="116">
        <f>BA41/AW53-1</f>
        <v>1.0145228215767634</v>
      </c>
      <c r="BB126" s="116" t="e">
        <f>BB41/AX53-1</f>
        <v>#DIV/0!</v>
      </c>
    </row>
    <row r="127" spans="1:72" ht="14.55" customHeight="1" x14ac:dyDescent="0.3">
      <c r="B127" s="42" t="s">
        <v>137</v>
      </c>
      <c r="C127" s="47"/>
      <c r="D127" s="117"/>
      <c r="E127" s="117"/>
      <c r="F127" s="117"/>
      <c r="G127" s="124">
        <f t="shared" ref="G127:R127" si="149">G50/C50-1</f>
        <v>0.13962258778642234</v>
      </c>
      <c r="H127" s="124">
        <f t="shared" si="149"/>
        <v>9.6313658640528432E-2</v>
      </c>
      <c r="I127" s="124">
        <f t="shared" si="149"/>
        <v>-4.7012231262459903E-3</v>
      </c>
      <c r="J127" s="124">
        <f t="shared" si="149"/>
        <v>-6.569817866435379E-2</v>
      </c>
      <c r="K127" s="124">
        <f t="shared" si="149"/>
        <v>-0.11585682733532532</v>
      </c>
      <c r="L127" s="124">
        <f t="shared" si="149"/>
        <v>-0.17215648164027519</v>
      </c>
      <c r="M127" s="124">
        <f t="shared" si="149"/>
        <v>-0.1168405808870302</v>
      </c>
      <c r="N127" s="124">
        <f t="shared" si="149"/>
        <v>-8.1805523323276841E-2</v>
      </c>
      <c r="O127" s="124">
        <f t="shared" si="149"/>
        <v>8.0848213907249722E-3</v>
      </c>
      <c r="P127" s="124">
        <f t="shared" si="149"/>
        <v>-2.7406677653890599E-3</v>
      </c>
      <c r="Q127" s="124">
        <f t="shared" si="149"/>
        <v>5.5873969411836866E-2</v>
      </c>
      <c r="R127" s="124">
        <f t="shared" si="149"/>
        <v>-2.9215445239709203E-2</v>
      </c>
      <c r="S127" s="122"/>
      <c r="T127" s="122"/>
      <c r="U127" s="122"/>
      <c r="V127" s="122"/>
      <c r="W127" s="122"/>
      <c r="X127" s="122"/>
      <c r="Y127" s="122"/>
      <c r="Z127" s="123"/>
      <c r="AA127" s="123"/>
      <c r="AB127" s="123"/>
      <c r="AC127" s="123"/>
      <c r="AD127" s="123"/>
      <c r="AE127" s="116"/>
      <c r="AF127" s="116"/>
      <c r="AG127" s="116"/>
      <c r="AH127" s="116"/>
      <c r="AI127" s="116"/>
      <c r="AJ127" s="116"/>
      <c r="AK127" s="116"/>
      <c r="AL127" s="116"/>
      <c r="AM127" s="116"/>
      <c r="AN127" s="116"/>
      <c r="AO127" s="116"/>
      <c r="AP127" s="124"/>
      <c r="AQ127" s="124"/>
      <c r="AR127" s="116"/>
      <c r="AS127" s="116">
        <f>AS50/AO50-1</f>
        <v>0.31379310344827593</v>
      </c>
      <c r="AT127" s="116">
        <f>AT50/AP50-1</f>
        <v>-3.169014084507038E-2</v>
      </c>
      <c r="AU127" s="116">
        <f>AU50/AQ50-1</f>
        <v>9.9593495934959364E-2</v>
      </c>
      <c r="AV127" s="116"/>
      <c r="AW127" s="116"/>
      <c r="AX127" s="116"/>
      <c r="AY127" s="116"/>
      <c r="AZ127" s="116"/>
      <c r="BA127" s="116"/>
      <c r="BB127" s="116"/>
    </row>
    <row r="128" spans="1:72" ht="14.55" customHeight="1" x14ac:dyDescent="0.3">
      <c r="B128" s="42" t="s">
        <v>115</v>
      </c>
      <c r="C128" s="47"/>
      <c r="D128" s="117"/>
      <c r="E128" s="117"/>
      <c r="F128" s="117"/>
      <c r="G128" s="124">
        <f t="shared" ref="G128:BB128" si="150">G46/C46-1</f>
        <v>0.21449314151890242</v>
      </c>
      <c r="H128" s="124">
        <f t="shared" si="150"/>
        <v>-0.26872469635627538</v>
      </c>
      <c r="I128" s="124">
        <f t="shared" si="150"/>
        <v>-8.3609688523213821E-2</v>
      </c>
      <c r="J128" s="124">
        <f t="shared" si="150"/>
        <v>-9.2291209632161642E-2</v>
      </c>
      <c r="K128" s="124">
        <f t="shared" si="150"/>
        <v>-0.21765671658237196</v>
      </c>
      <c r="L128" s="124">
        <f t="shared" si="150"/>
        <v>0.28155837498398051</v>
      </c>
      <c r="M128" s="124">
        <f t="shared" si="150"/>
        <v>0.22536388726652246</v>
      </c>
      <c r="N128" s="124">
        <f t="shared" si="150"/>
        <v>0.14283573141486805</v>
      </c>
      <c r="O128" s="124">
        <f t="shared" si="150"/>
        <v>0.45070422535211274</v>
      </c>
      <c r="P128" s="124">
        <f t="shared" si="150"/>
        <v>0.10000000000000009</v>
      </c>
      <c r="Q128" s="124">
        <f t="shared" si="150"/>
        <v>-0.12149532710280375</v>
      </c>
      <c r="R128" s="124">
        <f t="shared" si="150"/>
        <v>-0.19672131147540983</v>
      </c>
      <c r="S128" s="237">
        <f t="shared" si="150"/>
        <v>-0.66019417475728148</v>
      </c>
      <c r="T128" s="237">
        <f t="shared" si="150"/>
        <v>-0.42727272727272725</v>
      </c>
      <c r="U128" s="238">
        <f t="shared" si="150"/>
        <v>-0.43617021276595747</v>
      </c>
      <c r="V128" s="238">
        <f t="shared" si="150"/>
        <v>-0.54081632653061229</v>
      </c>
      <c r="W128" s="116">
        <f t="shared" si="150"/>
        <v>0.11428571428571432</v>
      </c>
      <c r="X128" s="116">
        <f t="shared" si="150"/>
        <v>-0.31746031746031744</v>
      </c>
      <c r="Y128" s="116">
        <f t="shared" si="150"/>
        <v>-0.18867924528301883</v>
      </c>
      <c r="Z128" s="116">
        <f t="shared" si="150"/>
        <v>-0.22222222222222221</v>
      </c>
      <c r="AA128" s="116">
        <f t="shared" si="150"/>
        <v>0</v>
      </c>
      <c r="AB128" s="116">
        <f t="shared" si="150"/>
        <v>0.18604651162790709</v>
      </c>
      <c r="AC128" s="116">
        <f t="shared" si="150"/>
        <v>0.37209302325581395</v>
      </c>
      <c r="AD128" s="116">
        <f t="shared" si="150"/>
        <v>0.77142857142857135</v>
      </c>
      <c r="AE128" s="116">
        <f t="shared" si="150"/>
        <v>7.6923076923076872E-2</v>
      </c>
      <c r="AF128" s="116">
        <f t="shared" si="150"/>
        <v>-0.15686274509803921</v>
      </c>
      <c r="AG128" s="116">
        <f t="shared" si="150"/>
        <v>-0.28813559322033899</v>
      </c>
      <c r="AH128" s="116">
        <f t="shared" si="150"/>
        <v>-0.25806451612903225</v>
      </c>
      <c r="AI128" s="116">
        <f t="shared" si="150"/>
        <v>-4.7619047619047672E-2</v>
      </c>
      <c r="AJ128" s="116">
        <f t="shared" si="150"/>
        <v>-0.30232558139534882</v>
      </c>
      <c r="AK128" s="116">
        <f t="shared" si="150"/>
        <v>9.5238095238095344E-2</v>
      </c>
      <c r="AL128" s="116">
        <f t="shared" si="150"/>
        <v>-0.43478260869565222</v>
      </c>
      <c r="AM128" s="116">
        <f t="shared" si="150"/>
        <v>2.4999999999999911E-2</v>
      </c>
      <c r="AN128" s="116">
        <f t="shared" si="150"/>
        <v>0.39999999999999991</v>
      </c>
      <c r="AO128" s="116">
        <f t="shared" si="150"/>
        <v>6.5217391304347894E-2</v>
      </c>
      <c r="AP128" s="116">
        <f t="shared" si="150"/>
        <v>0.84615384615384626</v>
      </c>
      <c r="AQ128" s="116">
        <f t="shared" si="150"/>
        <v>-4.8780487804878092E-2</v>
      </c>
      <c r="AR128" s="116">
        <f t="shared" si="150"/>
        <v>0.19047619047619047</v>
      </c>
      <c r="AS128" s="116">
        <f t="shared" si="150"/>
        <v>-2.0408163265306145E-2</v>
      </c>
      <c r="AT128" s="116">
        <f t="shared" si="150"/>
        <v>8.3333333333333259E-2</v>
      </c>
      <c r="AU128" s="116">
        <f t="shared" si="150"/>
        <v>-2.5641025641025661E-2</v>
      </c>
      <c r="AV128" s="116">
        <f t="shared" si="150"/>
        <v>-0.14000000000000001</v>
      </c>
      <c r="AW128" s="116">
        <f t="shared" si="150"/>
        <v>-8.333333333333337E-2</v>
      </c>
      <c r="AX128" s="116">
        <f t="shared" si="150"/>
        <v>-0.26923076923076927</v>
      </c>
      <c r="AY128" s="116">
        <f t="shared" si="150"/>
        <v>2.6315789473684292E-2</v>
      </c>
      <c r="AZ128" s="116">
        <f t="shared" si="150"/>
        <v>9.3023255813953432E-2</v>
      </c>
      <c r="BA128" s="116">
        <f t="shared" si="150"/>
        <v>-2.2727272727272707E-2</v>
      </c>
      <c r="BB128" s="116">
        <f t="shared" si="150"/>
        <v>0.26315789473684204</v>
      </c>
    </row>
    <row r="129" spans="2:56" ht="14.55" customHeight="1" x14ac:dyDescent="0.3">
      <c r="B129" s="42" t="s">
        <v>116</v>
      </c>
      <c r="C129" s="47"/>
      <c r="D129" s="117"/>
      <c r="E129" s="117"/>
      <c r="F129" s="117"/>
      <c r="G129" s="124">
        <f t="shared" ref="G129:P130" si="151">G44/C44-1</f>
        <v>0.14938045560996382</v>
      </c>
      <c r="H129" s="124">
        <f t="shared" si="151"/>
        <v>-6.5006493010465238E-2</v>
      </c>
      <c r="I129" s="124">
        <f t="shared" si="151"/>
        <v>-7.8250680853758969E-2</v>
      </c>
      <c r="J129" s="124">
        <f t="shared" si="151"/>
        <v>-0.12167017717754924</v>
      </c>
      <c r="K129" s="124">
        <f t="shared" si="151"/>
        <v>-0.13311500674243892</v>
      </c>
      <c r="L129" s="124">
        <f t="shared" si="151"/>
        <v>4.3936092955700889E-2</v>
      </c>
      <c r="M129" s="124">
        <f t="shared" si="151"/>
        <v>-0.43312605215240318</v>
      </c>
      <c r="N129" s="124">
        <f t="shared" si="151"/>
        <v>2.2711242770489637E-2</v>
      </c>
      <c r="O129" s="124">
        <f t="shared" si="151"/>
        <v>5.9829059829059839E-2</v>
      </c>
      <c r="P129" s="124">
        <f t="shared" si="151"/>
        <v>0</v>
      </c>
      <c r="Q129" s="124">
        <f t="shared" ref="Q129:Z130" si="152">Q44/M44-1</f>
        <v>0.8787878787878789</v>
      </c>
      <c r="R129" s="124">
        <f t="shared" si="152"/>
        <v>8.6206896551723755E-3</v>
      </c>
      <c r="S129" s="237">
        <f t="shared" si="152"/>
        <v>0</v>
      </c>
      <c r="T129" s="237">
        <f t="shared" si="152"/>
        <v>0.17391304347826098</v>
      </c>
      <c r="U129" s="238">
        <f t="shared" si="152"/>
        <v>9.6774193548387011E-2</v>
      </c>
      <c r="V129" s="238">
        <f t="shared" si="152"/>
        <v>0.12820512820512819</v>
      </c>
      <c r="W129" s="116">
        <f t="shared" si="152"/>
        <v>0.15322580645161299</v>
      </c>
      <c r="X129" s="116">
        <f t="shared" si="152"/>
        <v>1.4814814814814836E-2</v>
      </c>
      <c r="Y129" s="116">
        <f t="shared" si="152"/>
        <v>0.10294117647058831</v>
      </c>
      <c r="Z129" s="116">
        <f t="shared" si="152"/>
        <v>0.10606060606060597</v>
      </c>
      <c r="AA129" s="116">
        <f t="shared" ref="AA129:AJ130" si="153">AA44/W44-1</f>
        <v>-2.0979020979020935E-2</v>
      </c>
      <c r="AB129" s="116">
        <f t="shared" si="153"/>
        <v>5.1094890510948954E-2</v>
      </c>
      <c r="AC129" s="116">
        <f t="shared" si="153"/>
        <v>-1.3333333333333308E-2</v>
      </c>
      <c r="AD129" s="116">
        <f t="shared" si="153"/>
        <v>0.19178082191780832</v>
      </c>
      <c r="AE129" s="116">
        <f t="shared" si="153"/>
        <v>8.5714285714285632E-2</v>
      </c>
      <c r="AF129" s="116">
        <f t="shared" si="153"/>
        <v>0.15277777777777768</v>
      </c>
      <c r="AG129" s="116">
        <f t="shared" si="153"/>
        <v>3.3783783783783772E-2</v>
      </c>
      <c r="AH129" s="116">
        <f t="shared" si="153"/>
        <v>3.4482758620689724E-2</v>
      </c>
      <c r="AI129" s="116">
        <f t="shared" si="153"/>
        <v>3.9473684210526327E-2</v>
      </c>
      <c r="AJ129" s="116">
        <f t="shared" si="153"/>
        <v>7.2289156626506035E-2</v>
      </c>
      <c r="AK129" s="116">
        <f t="shared" ref="AK129:AT130" si="154">AK44/AG44-1</f>
        <v>0.11764705882352944</v>
      </c>
      <c r="AL129" s="116">
        <f t="shared" si="154"/>
        <v>-9.4444444444444442E-2</v>
      </c>
      <c r="AM129" s="116">
        <f t="shared" si="154"/>
        <v>0.15822784810126578</v>
      </c>
      <c r="AN129" s="116">
        <f t="shared" si="154"/>
        <v>0</v>
      </c>
      <c r="AO129" s="116">
        <f t="shared" si="154"/>
        <v>7.0175438596491224E-2</v>
      </c>
      <c r="AP129" s="116">
        <f t="shared" si="154"/>
        <v>0.17177914110429437</v>
      </c>
      <c r="AQ129" s="116">
        <f t="shared" si="154"/>
        <v>0.14754098360655732</v>
      </c>
      <c r="AR129" s="116">
        <f t="shared" si="154"/>
        <v>8.98876404494382E-2</v>
      </c>
      <c r="AS129" s="116">
        <f t="shared" si="154"/>
        <v>5.464480874316946E-2</v>
      </c>
      <c r="AT129" s="116">
        <f t="shared" si="154"/>
        <v>0.13089005235602102</v>
      </c>
      <c r="AU129" s="116">
        <f t="shared" ref="AU129:BB130" si="155">AU44/AQ44-1</f>
        <v>-4.7619047619047672E-2</v>
      </c>
      <c r="AV129" s="116">
        <f t="shared" si="155"/>
        <v>4.1237113402061931E-2</v>
      </c>
      <c r="AW129" s="116">
        <f t="shared" si="155"/>
        <v>0.43523316062176165</v>
      </c>
      <c r="AX129" s="116">
        <f t="shared" si="155"/>
        <v>-6.944444444444442E-2</v>
      </c>
      <c r="AY129" s="116">
        <f t="shared" si="155"/>
        <v>1.0000000000000009E-2</v>
      </c>
      <c r="AZ129" s="116">
        <f t="shared" si="155"/>
        <v>2.9702970297029729E-2</v>
      </c>
      <c r="BA129" s="116">
        <f t="shared" si="155"/>
        <v>-0.26353790613718409</v>
      </c>
      <c r="BB129" s="116">
        <f t="shared" si="155"/>
        <v>0.11940298507462677</v>
      </c>
    </row>
    <row r="130" spans="2:56" ht="14.55" customHeight="1" x14ac:dyDescent="0.3">
      <c r="B130" s="42" t="s">
        <v>117</v>
      </c>
      <c r="C130" s="47"/>
      <c r="D130" s="117"/>
      <c r="E130" s="117"/>
      <c r="F130" s="117"/>
      <c r="G130" s="124">
        <f t="shared" si="151"/>
        <v>0.21500364725304277</v>
      </c>
      <c r="H130" s="124">
        <f t="shared" si="151"/>
        <v>-7.5472838237960138E-2</v>
      </c>
      <c r="I130" s="124">
        <f t="shared" si="151"/>
        <v>-0.23262349769227253</v>
      </c>
      <c r="J130" s="124">
        <f t="shared" si="151"/>
        <v>-0.17701069673315972</v>
      </c>
      <c r="K130" s="124">
        <f t="shared" si="151"/>
        <v>-0.12156525695796161</v>
      </c>
      <c r="L130" s="124">
        <f t="shared" si="151"/>
        <v>-0.1285403050108932</v>
      </c>
      <c r="M130" s="124">
        <f t="shared" si="151"/>
        <v>8.6794700014887649E-2</v>
      </c>
      <c r="N130" s="124">
        <f t="shared" si="151"/>
        <v>0.20138264388489202</v>
      </c>
      <c r="O130" s="124">
        <f t="shared" si="151"/>
        <v>-0.12230215827338131</v>
      </c>
      <c r="P130" s="124">
        <f t="shared" si="151"/>
        <v>-4.166666666666663E-2</v>
      </c>
      <c r="Q130" s="124">
        <f t="shared" si="152"/>
        <v>-3.4246575342465779E-2</v>
      </c>
      <c r="R130" s="124">
        <f t="shared" si="152"/>
        <v>-8.7719298245614086E-2</v>
      </c>
      <c r="S130" s="237">
        <f t="shared" si="152"/>
        <v>-0.31967213114754101</v>
      </c>
      <c r="T130" s="237">
        <f t="shared" si="152"/>
        <v>-1.7391304347826098E-2</v>
      </c>
      <c r="U130" s="238">
        <f t="shared" si="152"/>
        <v>-0.39007092198581561</v>
      </c>
      <c r="V130" s="238">
        <f t="shared" si="152"/>
        <v>-0.33333333333333337</v>
      </c>
      <c r="W130" s="116">
        <f t="shared" si="152"/>
        <v>0.16867469879518082</v>
      </c>
      <c r="X130" s="116">
        <f t="shared" si="152"/>
        <v>-0.40707964601769908</v>
      </c>
      <c r="Y130" s="116">
        <f t="shared" si="152"/>
        <v>-0.2558139534883721</v>
      </c>
      <c r="Z130" s="116">
        <f t="shared" si="152"/>
        <v>2.8846153846153744E-2</v>
      </c>
      <c r="AA130" s="116">
        <f t="shared" si="153"/>
        <v>-0.16494845360824739</v>
      </c>
      <c r="AB130" s="116">
        <f t="shared" si="153"/>
        <v>0.43283582089552231</v>
      </c>
      <c r="AC130" s="116">
        <f t="shared" si="153"/>
        <v>0.40625</v>
      </c>
      <c r="AD130" s="116">
        <f t="shared" si="153"/>
        <v>0.99065420560747675</v>
      </c>
      <c r="AE130" s="116">
        <f t="shared" si="153"/>
        <v>0.28395061728395055</v>
      </c>
      <c r="AF130" s="116">
        <f t="shared" si="153"/>
        <v>-0.48958333333333337</v>
      </c>
      <c r="AG130" s="116">
        <f t="shared" si="153"/>
        <v>0</v>
      </c>
      <c r="AH130" s="116">
        <f t="shared" si="153"/>
        <v>-0.46478873239436624</v>
      </c>
      <c r="AI130" s="116">
        <f t="shared" si="153"/>
        <v>2.8846153846153744E-2</v>
      </c>
      <c r="AJ130" s="116">
        <f t="shared" si="153"/>
        <v>0.93877551020408156</v>
      </c>
      <c r="AK130" s="116">
        <f t="shared" si="154"/>
        <v>0.23333333333333339</v>
      </c>
      <c r="AL130" s="116">
        <f t="shared" si="154"/>
        <v>0.22807017543859653</v>
      </c>
      <c r="AM130" s="116">
        <f t="shared" si="154"/>
        <v>-7.4766355140186924E-2</v>
      </c>
      <c r="AN130" s="116">
        <f t="shared" si="154"/>
        <v>-9.4736842105263119E-2</v>
      </c>
      <c r="AO130" s="116">
        <f t="shared" si="154"/>
        <v>-8.108108108108103E-2</v>
      </c>
      <c r="AP130" s="116">
        <f t="shared" si="154"/>
        <v>-0.18571428571428572</v>
      </c>
      <c r="AQ130" s="116">
        <f t="shared" si="154"/>
        <v>-0.12121212121212122</v>
      </c>
      <c r="AR130" s="116">
        <f t="shared" si="154"/>
        <v>0.11627906976744184</v>
      </c>
      <c r="AS130" s="116">
        <f t="shared" si="154"/>
        <v>0</v>
      </c>
      <c r="AT130" s="116">
        <f t="shared" si="154"/>
        <v>-4.3859649122807043E-2</v>
      </c>
      <c r="AU130" s="116">
        <f t="shared" si="155"/>
        <v>0.21839080459770122</v>
      </c>
      <c r="AV130" s="116">
        <f t="shared" si="155"/>
        <v>-2.083333333333337E-2</v>
      </c>
      <c r="AW130" s="116">
        <f t="shared" si="155"/>
        <v>0</v>
      </c>
      <c r="AX130" s="116">
        <f t="shared" si="155"/>
        <v>0.15596330275229353</v>
      </c>
      <c r="AY130" s="116">
        <f t="shared" si="155"/>
        <v>-3.7735849056603765E-2</v>
      </c>
      <c r="AZ130" s="116">
        <f t="shared" si="155"/>
        <v>0.15957446808510634</v>
      </c>
      <c r="BA130" s="116">
        <f t="shared" si="155"/>
        <v>0.25490196078431371</v>
      </c>
      <c r="BB130" s="116">
        <f t="shared" si="155"/>
        <v>-2.3809523809523836E-2</v>
      </c>
    </row>
    <row r="131" spans="2:56" ht="14.55" customHeight="1" x14ac:dyDescent="0.3">
      <c r="B131" s="42" t="s">
        <v>118</v>
      </c>
      <c r="C131" s="47"/>
      <c r="D131" s="117"/>
      <c r="E131" s="117"/>
      <c r="F131" s="117"/>
      <c r="G131" s="122"/>
      <c r="H131" s="122"/>
      <c r="I131" s="122"/>
      <c r="J131" s="122"/>
      <c r="K131" s="122"/>
      <c r="L131" s="122"/>
      <c r="M131" s="122"/>
      <c r="N131" s="122"/>
      <c r="O131" s="122"/>
      <c r="P131" s="122"/>
      <c r="Q131" s="122"/>
      <c r="R131" s="122"/>
      <c r="S131" s="122"/>
      <c r="T131" s="123"/>
      <c r="U131" s="123"/>
      <c r="V131" s="123"/>
      <c r="W131" s="116">
        <f t="shared" ref="W131:AD131" si="156">W51/S51-1</f>
        <v>0.20588235294117641</v>
      </c>
      <c r="X131" s="116">
        <f t="shared" si="156"/>
        <v>0.16666666666666674</v>
      </c>
      <c r="Y131" s="116">
        <f t="shared" si="156"/>
        <v>0.44999999999999996</v>
      </c>
      <c r="Z131" s="116">
        <f t="shared" si="156"/>
        <v>0.54054054054054057</v>
      </c>
      <c r="AA131" s="116">
        <f t="shared" si="156"/>
        <v>2.4390243902439046E-2</v>
      </c>
      <c r="AB131" s="116">
        <f t="shared" si="156"/>
        <v>0.47619047619047628</v>
      </c>
      <c r="AC131" s="116">
        <f t="shared" si="156"/>
        <v>-0.18965517241379315</v>
      </c>
      <c r="AD131" s="116">
        <f t="shared" si="156"/>
        <v>0.12280701754385959</v>
      </c>
      <c r="AE131" s="126">
        <v>0.45238095238095233</v>
      </c>
      <c r="AF131" s="126">
        <v>1.6129032258064502E-2</v>
      </c>
      <c r="AG131" s="126">
        <v>0.34042553191489366</v>
      </c>
      <c r="AH131" s="126">
        <v>6.25E-2</v>
      </c>
      <c r="AI131" s="126">
        <v>-0.14754098360655743</v>
      </c>
      <c r="AJ131" s="126">
        <v>-0.22222222222222221</v>
      </c>
      <c r="AK131" s="126">
        <v>-0.19047619047619047</v>
      </c>
      <c r="AL131" s="116">
        <f>AL51/AH51-1</f>
        <v>3.7735849056603765E-2</v>
      </c>
      <c r="AM131" s="116">
        <f>AM51/AI51-1</f>
        <v>5.7692307692307709E-2</v>
      </c>
      <c r="AN131" s="116">
        <f>AN51/AJ51-1</f>
        <v>-4.081632653061229E-2</v>
      </c>
      <c r="AO131" s="116">
        <f>AO51/AK51-1</f>
        <v>3.9215686274509887E-2</v>
      </c>
      <c r="AP131" s="116">
        <f>AP51/AL51-1</f>
        <v>1.8181818181818077E-2</v>
      </c>
      <c r="AQ131" s="116"/>
      <c r="AR131" s="116">
        <f t="shared" ref="AR131:BB131" si="157">AR51/AN51-1</f>
        <v>-1</v>
      </c>
      <c r="AS131" s="116">
        <f t="shared" si="157"/>
        <v>-1</v>
      </c>
      <c r="AT131" s="116">
        <f t="shared" si="157"/>
        <v>-1</v>
      </c>
      <c r="AU131" s="116" t="e">
        <f t="shared" si="157"/>
        <v>#DIV/0!</v>
      </c>
      <c r="AV131" s="116" t="e">
        <f t="shared" si="157"/>
        <v>#DIV/0!</v>
      </c>
      <c r="AW131" s="116" t="e">
        <f t="shared" si="157"/>
        <v>#DIV/0!</v>
      </c>
      <c r="AX131" s="116" t="e">
        <f t="shared" si="157"/>
        <v>#DIV/0!</v>
      </c>
      <c r="AY131" s="116" t="e">
        <f t="shared" si="157"/>
        <v>#DIV/0!</v>
      </c>
      <c r="AZ131" s="116" t="e">
        <f t="shared" si="157"/>
        <v>#DIV/0!</v>
      </c>
      <c r="BA131" s="116" t="e">
        <f t="shared" si="157"/>
        <v>#DIV/0!</v>
      </c>
      <c r="BB131" s="116" t="e">
        <f t="shared" si="157"/>
        <v>#DIV/0!</v>
      </c>
    </row>
    <row r="132" spans="2:56" ht="14.55" customHeight="1" x14ac:dyDescent="0.3">
      <c r="B132" s="38" t="s">
        <v>58</v>
      </c>
      <c r="C132" s="47"/>
      <c r="D132" s="117"/>
      <c r="E132" s="117"/>
      <c r="F132" s="117"/>
      <c r="G132" s="124">
        <f t="shared" ref="G132:AD132" si="158">G54/C54-1</f>
        <v>0.20252099373243215</v>
      </c>
      <c r="H132" s="124">
        <f t="shared" si="158"/>
        <v>1.0816363526497286E-2</v>
      </c>
      <c r="I132" s="124">
        <f t="shared" si="158"/>
        <v>-6.4820906936368439E-2</v>
      </c>
      <c r="J132" s="124">
        <f t="shared" si="158"/>
        <v>-7.8582782268335039E-2</v>
      </c>
      <c r="K132" s="124">
        <f t="shared" si="158"/>
        <v>-0.13219002045817685</v>
      </c>
      <c r="L132" s="124">
        <f t="shared" si="158"/>
        <v>-0.11794285916715386</v>
      </c>
      <c r="M132" s="124">
        <f t="shared" si="158"/>
        <v>-9.1973128651874236E-2</v>
      </c>
      <c r="N132" s="124">
        <f t="shared" si="158"/>
        <v>-1.757621140441723E-2</v>
      </c>
      <c r="O132" s="124">
        <f t="shared" si="158"/>
        <v>1.8089070652724581E-2</v>
      </c>
      <c r="P132" s="124">
        <f t="shared" si="158"/>
        <v>4.0302580610180883E-3</v>
      </c>
      <c r="Q132" s="124">
        <f t="shared" si="158"/>
        <v>6.9936310900166276E-2</v>
      </c>
      <c r="R132" s="124">
        <f t="shared" si="158"/>
        <v>-6.0588899455408796E-2</v>
      </c>
      <c r="S132" s="124">
        <f t="shared" si="158"/>
        <v>-8.0723552256969255E-2</v>
      </c>
      <c r="T132" s="116">
        <f t="shared" si="158"/>
        <v>9.2021840436808722E-2</v>
      </c>
      <c r="U132" s="116">
        <f t="shared" si="158"/>
        <v>-4.0758293838862536E-2</v>
      </c>
      <c r="V132" s="239">
        <f t="shared" si="158"/>
        <v>-2.6540284360189625E-2</v>
      </c>
      <c r="W132" s="128">
        <f t="shared" si="158"/>
        <v>0.37997957099080693</v>
      </c>
      <c r="X132" s="128">
        <f t="shared" si="158"/>
        <v>0.10805860805860812</v>
      </c>
      <c r="Y132" s="128">
        <f t="shared" si="158"/>
        <v>0.20948616600790504</v>
      </c>
      <c r="Z132" s="128">
        <f t="shared" si="158"/>
        <v>0.28237585199610526</v>
      </c>
      <c r="AA132" s="128">
        <f t="shared" si="158"/>
        <v>-9.9185788304959277E-2</v>
      </c>
      <c r="AB132" s="128">
        <f t="shared" si="158"/>
        <v>2.3966942148760273E-2</v>
      </c>
      <c r="AC132" s="128">
        <f t="shared" si="158"/>
        <v>-5.7189542483659928E-3</v>
      </c>
      <c r="AD132" s="128">
        <f t="shared" si="158"/>
        <v>0.27258921791951396</v>
      </c>
      <c r="AE132" s="127">
        <v>5.0944946589975393E-2</v>
      </c>
      <c r="AF132" s="127">
        <v>1.6142050040355072E-2</v>
      </c>
      <c r="AG132" s="127">
        <v>8.545603944124891E-2</v>
      </c>
      <c r="AH132" s="127">
        <v>5.9665871121719061E-3</v>
      </c>
      <c r="AI132" s="127">
        <v>0.11102423768569203</v>
      </c>
      <c r="AJ132" s="127">
        <v>-8.7370929308975276E-3</v>
      </c>
      <c r="AK132" s="127">
        <v>-2.4224072672218044E-2</v>
      </c>
      <c r="AL132" s="128">
        <f t="shared" ref="AL132:BB132" si="159">AL54/(AH54)-1</f>
        <v>-0.19635258358662611</v>
      </c>
      <c r="AM132" s="128">
        <f t="shared" si="159"/>
        <v>-7.2516316171138517E-2</v>
      </c>
      <c r="AN132" s="128">
        <f t="shared" si="159"/>
        <v>5.2282157676348584E-2</v>
      </c>
      <c r="AO132" s="128">
        <f t="shared" si="159"/>
        <v>3.8523274478330594E-2</v>
      </c>
      <c r="AP132" s="128">
        <f t="shared" si="159"/>
        <v>0.15279878971255667</v>
      </c>
      <c r="AQ132" s="128">
        <f t="shared" si="159"/>
        <v>0.15637216575449564</v>
      </c>
      <c r="AR132" s="128">
        <f t="shared" si="159"/>
        <v>0.11356466876971605</v>
      </c>
      <c r="AS132" s="128">
        <f t="shared" si="159"/>
        <v>8.2689335394126706E-2</v>
      </c>
      <c r="AT132" s="128">
        <f t="shared" si="159"/>
        <v>2.8871391076115582E-2</v>
      </c>
      <c r="AU132" s="128">
        <f t="shared" si="159"/>
        <v>5.070993914807298E-2</v>
      </c>
      <c r="AV132" s="128">
        <f t="shared" si="159"/>
        <v>3.966005665722383E-2</v>
      </c>
      <c r="AW132" s="128">
        <f t="shared" si="159"/>
        <v>7.994289793005005E-2</v>
      </c>
      <c r="AX132" s="128">
        <f t="shared" si="159"/>
        <v>7.461734693877542E-2</v>
      </c>
      <c r="AY132" s="128">
        <f t="shared" si="159"/>
        <v>3.2175032175032481E-3</v>
      </c>
      <c r="AZ132" s="128">
        <f t="shared" si="159"/>
        <v>4.9046321525885617E-2</v>
      </c>
      <c r="BA132" s="128">
        <f t="shared" si="159"/>
        <v>9.9140779907469501E-3</v>
      </c>
      <c r="BB132" s="128">
        <f t="shared" si="159"/>
        <v>6.0534124629080033E-2</v>
      </c>
    </row>
    <row r="133" spans="2:56" ht="14.55" customHeight="1" x14ac:dyDescent="0.3">
      <c r="C133" s="47"/>
      <c r="D133" s="117"/>
      <c r="E133" s="117"/>
      <c r="F133" s="117"/>
      <c r="G133" s="117"/>
      <c r="H133" s="117"/>
      <c r="I133" s="117"/>
      <c r="J133" s="117"/>
      <c r="K133" s="117"/>
      <c r="L133" s="117"/>
      <c r="M133" s="117"/>
      <c r="N133" s="117"/>
      <c r="O133" s="117"/>
      <c r="P133" s="117"/>
      <c r="Q133" s="117"/>
      <c r="R133" s="117"/>
      <c r="S133" s="117"/>
      <c r="T133" s="117"/>
      <c r="U133" s="117"/>
      <c r="V133" s="117"/>
      <c r="W133" s="117"/>
      <c r="X133" s="117"/>
      <c r="Y133" s="117"/>
      <c r="Z133" s="117"/>
      <c r="AA133" s="117"/>
      <c r="AB133" s="117"/>
      <c r="AC133" s="117"/>
      <c r="AD133" s="117"/>
      <c r="AE133" s="118"/>
      <c r="AF133" s="118"/>
      <c r="AG133" s="118"/>
      <c r="AH133" s="118"/>
      <c r="AI133" s="118"/>
      <c r="AJ133" s="118"/>
      <c r="AK133" s="118"/>
      <c r="AL133" s="118"/>
      <c r="AM133" s="118"/>
      <c r="AN133" s="118"/>
      <c r="AO133" s="118"/>
      <c r="AP133" s="118"/>
      <c r="AQ133" s="118"/>
      <c r="AR133" s="118"/>
      <c r="AS133" s="118"/>
      <c r="AT133" s="118"/>
      <c r="AU133" s="118"/>
      <c r="AV133" s="118"/>
      <c r="AW133" s="118"/>
      <c r="AX133" s="118"/>
      <c r="AY133" s="118"/>
      <c r="AZ133" s="118"/>
      <c r="BA133" s="118"/>
      <c r="BB133" s="118"/>
    </row>
    <row r="134" spans="2:56" ht="14.55" customHeight="1" x14ac:dyDescent="0.3">
      <c r="B134" s="38" t="s">
        <v>71</v>
      </c>
      <c r="C134" s="47"/>
      <c r="D134" s="117"/>
      <c r="E134" s="117"/>
      <c r="F134" s="117"/>
      <c r="G134" s="117"/>
      <c r="H134" s="117"/>
      <c r="I134" s="117"/>
      <c r="J134" s="117"/>
      <c r="K134" s="117"/>
      <c r="L134" s="117"/>
      <c r="M134" s="117"/>
      <c r="N134" s="117"/>
      <c r="O134" s="117"/>
      <c r="P134" s="117"/>
      <c r="Q134" s="117"/>
      <c r="R134" s="117"/>
      <c r="S134" s="117"/>
      <c r="T134" s="117"/>
      <c r="U134" s="117"/>
      <c r="V134" s="117"/>
      <c r="W134" s="117"/>
      <c r="X134" s="117"/>
      <c r="Y134" s="117"/>
      <c r="Z134" s="117"/>
      <c r="AA134" s="117"/>
      <c r="AB134" s="117"/>
      <c r="AC134" s="117"/>
      <c r="AD134" s="117"/>
      <c r="AE134" s="118"/>
      <c r="AF134" s="118"/>
      <c r="AG134" s="118"/>
      <c r="AH134" s="118"/>
      <c r="AI134" s="118"/>
      <c r="AJ134" s="118"/>
      <c r="AK134" s="118"/>
      <c r="AL134" s="118"/>
      <c r="AM134" s="118"/>
      <c r="AN134" s="118"/>
      <c r="AO134" s="118"/>
      <c r="AP134" s="118"/>
      <c r="AQ134" s="118"/>
      <c r="AR134" s="118"/>
      <c r="AS134" s="118"/>
      <c r="AT134" s="118"/>
      <c r="AU134" s="118"/>
      <c r="AV134" s="118"/>
      <c r="AW134" s="118"/>
      <c r="AX134" s="118"/>
      <c r="AY134" s="118"/>
      <c r="AZ134" s="118"/>
      <c r="BA134" s="118"/>
      <c r="BB134" s="118"/>
    </row>
    <row r="135" spans="2:56" ht="14.55" customHeight="1" x14ac:dyDescent="0.3">
      <c r="B135" s="42" t="s">
        <v>331</v>
      </c>
      <c r="C135" s="123"/>
      <c r="D135" s="123"/>
      <c r="E135" s="123"/>
      <c r="F135" s="123"/>
      <c r="G135" s="123"/>
      <c r="H135" s="123"/>
      <c r="I135" s="123"/>
      <c r="J135" s="123"/>
      <c r="K135" s="123"/>
      <c r="L135" s="123"/>
      <c r="M135" s="123"/>
      <c r="N135" s="123"/>
      <c r="O135" s="123"/>
      <c r="P135" s="123"/>
      <c r="Q135" s="123"/>
      <c r="R135" s="123"/>
      <c r="S135" s="116">
        <f t="shared" ref="S135:AD135" si="160">S43/S$10</f>
        <v>9.0773067331670829E-2</v>
      </c>
      <c r="T135" s="116">
        <f t="shared" si="160"/>
        <v>0.10806618407445709</v>
      </c>
      <c r="U135" s="116">
        <f t="shared" si="160"/>
        <v>9.838546922300706E-2</v>
      </c>
      <c r="V135" s="116">
        <f t="shared" si="160"/>
        <v>0.10157790927021697</v>
      </c>
      <c r="W135" s="116">
        <f t="shared" si="160"/>
        <v>0.10453141091658084</v>
      </c>
      <c r="X135" s="116">
        <f t="shared" si="160"/>
        <v>0.10114107883817428</v>
      </c>
      <c r="Y135" s="116">
        <f t="shared" si="160"/>
        <v>0.10236625514403293</v>
      </c>
      <c r="Z135" s="116">
        <f t="shared" si="160"/>
        <v>0.10015814443858724</v>
      </c>
      <c r="AA135" s="116">
        <f t="shared" si="160"/>
        <v>0.10905125408942203</v>
      </c>
      <c r="AB135" s="116">
        <f t="shared" si="160"/>
        <v>0.10520665593129361</v>
      </c>
      <c r="AC135" s="116">
        <f t="shared" si="160"/>
        <v>0.11087420042643924</v>
      </c>
      <c r="AD135" s="116">
        <f t="shared" si="160"/>
        <v>0.14752370916754479</v>
      </c>
      <c r="AE135" s="126">
        <v>0.10517529215358931</v>
      </c>
      <c r="AF135" s="126">
        <v>0.10380034032898469</v>
      </c>
      <c r="AG135" s="126">
        <v>9.5882684715172029E-2</v>
      </c>
      <c r="AH135" s="126">
        <v>8.2392776523702027E-2</v>
      </c>
      <c r="AI135" s="126">
        <v>9.0106007067137811E-2</v>
      </c>
      <c r="AJ135" s="126">
        <v>0.10361445783132531</v>
      </c>
      <c r="AK135" s="126">
        <v>8.9659294680215176E-2</v>
      </c>
      <c r="AL135" s="116">
        <f t="shared" ref="AL135:AZ135" si="161">AL43/AL$10</f>
        <v>7.6969332531569457E-2</v>
      </c>
      <c r="AM135" s="116">
        <f t="shared" si="161"/>
        <v>7.0913461538461536E-2</v>
      </c>
      <c r="AN135" s="116">
        <f t="shared" si="161"/>
        <v>6.9353882631890934E-2</v>
      </c>
      <c r="AO135" s="116">
        <f t="shared" si="161"/>
        <v>7.2886297376093298E-2</v>
      </c>
      <c r="AP135" s="116">
        <f t="shared" si="161"/>
        <v>7.1087216248506571E-2</v>
      </c>
      <c r="AQ135" s="116">
        <f t="shared" si="161"/>
        <v>7.7738515901060068E-2</v>
      </c>
      <c r="AR135" s="116">
        <f t="shared" si="161"/>
        <v>7.6659038901601834E-2</v>
      </c>
      <c r="AS135" s="116">
        <f t="shared" si="161"/>
        <v>7.296380090497738E-2</v>
      </c>
      <c r="AT135" s="116">
        <f t="shared" si="161"/>
        <v>6.8600111544896827E-2</v>
      </c>
      <c r="AU135" s="116">
        <f t="shared" si="161"/>
        <v>7.73542600896861E-2</v>
      </c>
      <c r="AV135" s="116">
        <f t="shared" si="161"/>
        <v>8.0944350758853284E-2</v>
      </c>
      <c r="AW135" s="116">
        <f t="shared" si="161"/>
        <v>7.6965669988925803E-2</v>
      </c>
      <c r="AX135" s="116">
        <f t="shared" si="161"/>
        <v>7.3872895165670832E-2</v>
      </c>
      <c r="AY135" s="116">
        <f t="shared" si="161"/>
        <v>7.5040783034257749E-2</v>
      </c>
      <c r="AZ135" s="116">
        <f t="shared" si="161"/>
        <v>7.5175770686857754E-2</v>
      </c>
      <c r="BA135" s="116">
        <f t="shared" ref="BA135:BB135" si="162">BA43/BA$10</f>
        <v>8.0410145709660014E-2</v>
      </c>
      <c r="BB135" s="116">
        <f t="shared" si="162"/>
        <v>8.7841456882699523E-2</v>
      </c>
    </row>
    <row r="136" spans="2:56" ht="14.55" customHeight="1" x14ac:dyDescent="0.3">
      <c r="B136" s="42" t="s">
        <v>332</v>
      </c>
      <c r="C136" s="123"/>
      <c r="D136" s="123"/>
      <c r="E136" s="123"/>
      <c r="F136" s="123"/>
      <c r="G136" s="123"/>
      <c r="H136" s="123"/>
      <c r="I136" s="123"/>
      <c r="J136" s="123"/>
      <c r="K136" s="123"/>
      <c r="L136" s="123"/>
      <c r="M136" s="123"/>
      <c r="N136" s="123"/>
      <c r="O136" s="123"/>
      <c r="P136" s="123"/>
      <c r="Q136" s="123"/>
      <c r="R136" s="123"/>
      <c r="S136" s="116">
        <f t="shared" ref="S136:AW136" si="163">S53/S$10</f>
        <v>0.26084788029925188</v>
      </c>
      <c r="T136" s="116">
        <f t="shared" si="163"/>
        <v>0.27611168562564631</v>
      </c>
      <c r="U136" s="116">
        <f t="shared" si="163"/>
        <v>0.27093844601412714</v>
      </c>
      <c r="V136" s="116">
        <f t="shared" si="163"/>
        <v>0.26035502958579881</v>
      </c>
      <c r="W136" s="116">
        <f t="shared" si="163"/>
        <v>0.43151390319258498</v>
      </c>
      <c r="X136" s="116">
        <f t="shared" si="163"/>
        <v>0.38537344398340251</v>
      </c>
      <c r="Y136" s="116">
        <f t="shared" si="163"/>
        <v>0.375</v>
      </c>
      <c r="Z136" s="116">
        <f t="shared" si="163"/>
        <v>0.42382709541381131</v>
      </c>
      <c r="AA136" s="116">
        <f t="shared" si="163"/>
        <v>0.3925845147219193</v>
      </c>
      <c r="AB136" s="116">
        <f t="shared" si="163"/>
        <v>0.38808373590982287</v>
      </c>
      <c r="AC136" s="116">
        <f t="shared" si="163"/>
        <v>0.3646055437100213</v>
      </c>
      <c r="AD136" s="116">
        <f t="shared" si="163"/>
        <v>0.46522655426765014</v>
      </c>
      <c r="AE136" s="116">
        <f t="shared" si="163"/>
        <v>0.40957150806900389</v>
      </c>
      <c r="AF136" s="116">
        <f t="shared" si="163"/>
        <v>0.43448667044809985</v>
      </c>
      <c r="AG136" s="116">
        <f t="shared" si="163"/>
        <v>0.47095318668922731</v>
      </c>
      <c r="AH136" s="116">
        <f t="shared" si="163"/>
        <v>0.64672686230248311</v>
      </c>
      <c r="AI136" s="116">
        <f t="shared" si="163"/>
        <v>0.50412249705535928</v>
      </c>
      <c r="AJ136" s="116">
        <f t="shared" si="163"/>
        <v>0.39156626506024095</v>
      </c>
      <c r="AK136" s="116">
        <f t="shared" si="163"/>
        <v>0.45845786013150031</v>
      </c>
      <c r="AL136" s="116">
        <f t="shared" si="163"/>
        <v>0.52555622369212263</v>
      </c>
      <c r="AM136" s="116">
        <f t="shared" si="163"/>
        <v>0.27884615384615385</v>
      </c>
      <c r="AN136" s="116">
        <f t="shared" si="163"/>
        <v>0.26852400711321872</v>
      </c>
      <c r="AO136" s="116">
        <f t="shared" si="163"/>
        <v>0.30087463556851313</v>
      </c>
      <c r="AP136" s="116">
        <f t="shared" si="163"/>
        <v>0.28494623655913981</v>
      </c>
      <c r="AQ136" s="116">
        <f t="shared" si="163"/>
        <v>0.28268551236749118</v>
      </c>
      <c r="AR136" s="116">
        <f t="shared" si="163"/>
        <v>0.290045766590389</v>
      </c>
      <c r="AS136" s="116">
        <f t="shared" si="163"/>
        <v>0.2895927601809955</v>
      </c>
      <c r="AT136" s="116">
        <f t="shared" si="163"/>
        <v>0.27718906860011155</v>
      </c>
      <c r="AU136" s="116">
        <f t="shared" si="163"/>
        <v>0.27017937219730942</v>
      </c>
      <c r="AV136" s="116">
        <f t="shared" si="163"/>
        <v>0.27093872962338394</v>
      </c>
      <c r="AW136" s="116">
        <f t="shared" si="163"/>
        <v>0.26688815060908083</v>
      </c>
      <c r="AX136" s="116">
        <f>AX41/AX$10</f>
        <v>0.63824008690928846</v>
      </c>
      <c r="AY136" s="116">
        <f>AY41/AY$10</f>
        <v>0.56389342033713974</v>
      </c>
      <c r="AZ136" s="116">
        <f>AZ41/AZ$10</f>
        <v>0.5386695511087074</v>
      </c>
      <c r="BA136" s="116">
        <f>BA41/BA$10</f>
        <v>0.52401511063140849</v>
      </c>
      <c r="BB136" s="116">
        <f>BB41/BB$10</f>
        <v>0.63256561328334227</v>
      </c>
    </row>
    <row r="137" spans="2:56" ht="14.55" customHeight="1" x14ac:dyDescent="0.3">
      <c r="B137" s="42" t="s">
        <v>333</v>
      </c>
      <c r="C137" s="237">
        <f t="shared" ref="C137:R137" si="164">C50/C$10</f>
        <v>0.34499754420432222</v>
      </c>
      <c r="D137" s="237">
        <f t="shared" si="164"/>
        <v>0.34504036520903414</v>
      </c>
      <c r="E137" s="237">
        <f t="shared" si="164"/>
        <v>0.35932236205227491</v>
      </c>
      <c r="F137" s="237">
        <f t="shared" si="164"/>
        <v>0.38451539554713404</v>
      </c>
      <c r="G137" s="237">
        <f t="shared" si="164"/>
        <v>0.38745788964181993</v>
      </c>
      <c r="H137" s="237">
        <f t="shared" si="164"/>
        <v>0.38157295201163355</v>
      </c>
      <c r="I137" s="237">
        <f t="shared" si="164"/>
        <v>0.3602486591906387</v>
      </c>
      <c r="J137" s="237">
        <f t="shared" si="164"/>
        <v>0.37469565217391304</v>
      </c>
      <c r="K137" s="237">
        <f t="shared" si="164"/>
        <v>0.36238914490527396</v>
      </c>
      <c r="L137" s="237">
        <f t="shared" si="164"/>
        <v>0.33333299232736574</v>
      </c>
      <c r="M137" s="237">
        <f t="shared" si="164"/>
        <v>0.3353237410071942</v>
      </c>
      <c r="N137" s="237">
        <f t="shared" si="164"/>
        <v>0.35027364185110665</v>
      </c>
      <c r="O137" s="237">
        <f t="shared" si="164"/>
        <v>0.35337691926696391</v>
      </c>
      <c r="P137" s="237">
        <f t="shared" si="164"/>
        <v>0.32756048387096776</v>
      </c>
      <c r="Q137" s="237">
        <f t="shared" si="164"/>
        <v>0.33675464320625609</v>
      </c>
      <c r="R137" s="237">
        <f t="shared" si="164"/>
        <v>0.33023937469467513</v>
      </c>
      <c r="S137" s="122"/>
      <c r="T137" s="123"/>
      <c r="U137" s="123"/>
      <c r="V137" s="123"/>
      <c r="W137" s="123"/>
      <c r="X137" s="123"/>
      <c r="Y137" s="123"/>
      <c r="Z137" s="123"/>
      <c r="AA137" s="123"/>
      <c r="AB137" s="123"/>
      <c r="AC137" s="123"/>
      <c r="AD137" s="123"/>
      <c r="AE137" s="116"/>
      <c r="AF137" s="116"/>
      <c r="AG137" s="116"/>
      <c r="AH137" s="116"/>
      <c r="AI137" s="116"/>
      <c r="AJ137" s="116"/>
      <c r="AK137" s="116"/>
      <c r="AL137" s="116"/>
      <c r="AM137" s="116"/>
      <c r="AN137" s="116"/>
      <c r="AO137" s="116"/>
      <c r="AP137" s="116"/>
      <c r="AQ137" s="116"/>
      <c r="AR137" s="116"/>
      <c r="AS137" s="116"/>
      <c r="AT137" s="116"/>
      <c r="AU137" s="116"/>
      <c r="AV137" s="116"/>
      <c r="AW137" s="116"/>
      <c r="AX137" s="116"/>
      <c r="AY137" s="116"/>
      <c r="AZ137" s="116"/>
      <c r="BA137" s="116"/>
      <c r="BB137" s="116"/>
    </row>
    <row r="138" spans="2:56" ht="14.55" customHeight="1" x14ac:dyDescent="0.3">
      <c r="B138" s="42" t="s">
        <v>330</v>
      </c>
      <c r="C138" s="237">
        <f t="shared" ref="C138:AH138" si="165">C46/C$10</f>
        <v>3.6701866404715129E-2</v>
      </c>
      <c r="D138" s="237">
        <f t="shared" si="165"/>
        <v>5.1275348390197026E-2</v>
      </c>
      <c r="E138" s="237">
        <f t="shared" si="165"/>
        <v>4.6121974830590509E-2</v>
      </c>
      <c r="F138" s="237">
        <f t="shared" si="165"/>
        <v>5.5711037423022261E-2</v>
      </c>
      <c r="G138" s="237">
        <f t="shared" si="165"/>
        <v>4.3926911907066796E-2</v>
      </c>
      <c r="H138" s="237">
        <f t="shared" si="165"/>
        <v>3.7823557925351428E-2</v>
      </c>
      <c r="I138" s="237">
        <f t="shared" si="165"/>
        <v>4.2574841540711846E-2</v>
      </c>
      <c r="J138" s="237">
        <f t="shared" si="165"/>
        <v>5.2743083003952564E-2</v>
      </c>
      <c r="K138" s="237">
        <f t="shared" si="165"/>
        <v>3.6354326676907321E-2</v>
      </c>
      <c r="L138" s="237">
        <f t="shared" si="165"/>
        <v>5.1150895140664961E-2</v>
      </c>
      <c r="M138" s="237">
        <f t="shared" si="165"/>
        <v>5.4984583761562178E-2</v>
      </c>
      <c r="N138" s="237">
        <f t="shared" si="165"/>
        <v>6.1368209255533199E-2</v>
      </c>
      <c r="O138" s="237">
        <f t="shared" si="165"/>
        <v>5.1015354135710747E-2</v>
      </c>
      <c r="P138" s="237">
        <f t="shared" si="165"/>
        <v>5.5443548387096774E-2</v>
      </c>
      <c r="Q138" s="237">
        <f t="shared" si="165"/>
        <v>4.5943304007820138E-2</v>
      </c>
      <c r="R138" s="237">
        <f t="shared" si="165"/>
        <v>4.7874938935026867E-2</v>
      </c>
      <c r="S138" s="124">
        <f t="shared" si="165"/>
        <v>1.7456359102244388E-2</v>
      </c>
      <c r="T138" s="116">
        <f t="shared" si="165"/>
        <v>3.2574974146845917E-2</v>
      </c>
      <c r="U138" s="116">
        <f t="shared" si="165"/>
        <v>2.6740665993945509E-2</v>
      </c>
      <c r="V138" s="116">
        <f t="shared" si="165"/>
        <v>2.2189349112426034E-2</v>
      </c>
      <c r="W138" s="116">
        <f t="shared" si="165"/>
        <v>2.0082389289392381E-2</v>
      </c>
      <c r="X138" s="116">
        <f t="shared" si="165"/>
        <v>2.2302904564315353E-2</v>
      </c>
      <c r="Y138" s="116">
        <f t="shared" si="165"/>
        <v>2.2119341563786008E-2</v>
      </c>
      <c r="Z138" s="116">
        <f t="shared" si="165"/>
        <v>1.8450184501845018E-2</v>
      </c>
      <c r="AA138" s="116">
        <f t="shared" si="165"/>
        <v>2.1264994547437296E-2</v>
      </c>
      <c r="AB138" s="116">
        <f t="shared" si="165"/>
        <v>2.7375201288244767E-2</v>
      </c>
      <c r="AC138" s="116">
        <f t="shared" si="165"/>
        <v>3.1449893390191899E-2</v>
      </c>
      <c r="AD138" s="116">
        <f t="shared" si="165"/>
        <v>3.2665964172813484E-2</v>
      </c>
      <c r="AE138" s="116">
        <f t="shared" si="165"/>
        <v>2.337228714524207E-2</v>
      </c>
      <c r="AF138" s="116">
        <f t="shared" si="165"/>
        <v>2.4390243902439025E-2</v>
      </c>
      <c r="AG138" s="116">
        <f t="shared" si="165"/>
        <v>2.3688663282571912E-2</v>
      </c>
      <c r="AH138" s="116">
        <f t="shared" si="165"/>
        <v>2.5959367945823927E-2</v>
      </c>
      <c r="AI138" s="116">
        <f t="shared" ref="AI138:AZ138" si="166">AI46/AI$10</f>
        <v>2.3557126030624265E-2</v>
      </c>
      <c r="AJ138" s="116">
        <f t="shared" si="166"/>
        <v>1.8072289156626505E-2</v>
      </c>
      <c r="AK138" s="116">
        <f t="shared" si="166"/>
        <v>2.7495517035265989E-2</v>
      </c>
      <c r="AL138" s="116">
        <f t="shared" si="166"/>
        <v>1.5634395670475046E-2</v>
      </c>
      <c r="AM138" s="116">
        <f t="shared" si="166"/>
        <v>2.4639423076923076E-2</v>
      </c>
      <c r="AN138" s="116">
        <f t="shared" si="166"/>
        <v>2.4896265560165973E-2</v>
      </c>
      <c r="AO138" s="116">
        <f t="shared" si="166"/>
        <v>2.8571428571428571E-2</v>
      </c>
      <c r="AP138" s="116">
        <f t="shared" si="166"/>
        <v>2.8673835125448029E-2</v>
      </c>
      <c r="AQ138" s="116">
        <f t="shared" si="166"/>
        <v>2.2968197879858657E-2</v>
      </c>
      <c r="AR138" s="116">
        <f t="shared" si="166"/>
        <v>2.8604118993135013E-2</v>
      </c>
      <c r="AS138" s="116">
        <f t="shared" si="166"/>
        <v>2.7149321266968326E-2</v>
      </c>
      <c r="AT138" s="116">
        <f t="shared" si="166"/>
        <v>2.9001673173452314E-2</v>
      </c>
      <c r="AU138" s="116">
        <f t="shared" si="166"/>
        <v>2.1300448430493273E-2</v>
      </c>
      <c r="AV138" s="116">
        <f t="shared" si="166"/>
        <v>2.417088251826869E-2</v>
      </c>
      <c r="AW138" s="116">
        <f t="shared" si="166"/>
        <v>2.4363233665559248E-2</v>
      </c>
      <c r="AX138" s="116">
        <f t="shared" si="166"/>
        <v>2.0640956002172733E-2</v>
      </c>
      <c r="AY138" s="116">
        <f t="shared" si="166"/>
        <v>2.1207177814029365E-2</v>
      </c>
      <c r="AZ138" s="116">
        <f t="shared" si="166"/>
        <v>2.5419145484045429E-2</v>
      </c>
      <c r="BA138" s="116">
        <f t="shared" ref="BA138:BB138" si="167">BA46/BA$10</f>
        <v>2.3205612520237454E-2</v>
      </c>
      <c r="BB138" s="116">
        <f t="shared" si="167"/>
        <v>2.5709694697375468E-2</v>
      </c>
    </row>
    <row r="139" spans="2:56" ht="14.55" customHeight="1" x14ac:dyDescent="0.3">
      <c r="B139" s="42" t="s">
        <v>334</v>
      </c>
      <c r="C139" s="237">
        <f t="shared" ref="C139:AH139" si="168">C44/C$10</f>
        <v>5.7674361493123771E-2</v>
      </c>
      <c r="D139" s="237">
        <f t="shared" si="168"/>
        <v>5.6616530514175881E-2</v>
      </c>
      <c r="E139" s="237">
        <f t="shared" si="168"/>
        <v>6.1138431752178118E-2</v>
      </c>
      <c r="F139" s="237">
        <f t="shared" si="168"/>
        <v>6.1172903837044053E-2</v>
      </c>
      <c r="G139" s="237">
        <f t="shared" si="168"/>
        <v>6.5327202323330114E-2</v>
      </c>
      <c r="H139" s="237">
        <f t="shared" si="168"/>
        <v>5.3397964129907896E-2</v>
      </c>
      <c r="I139" s="237">
        <f t="shared" si="168"/>
        <v>5.6766455387615794E-2</v>
      </c>
      <c r="J139" s="237">
        <f t="shared" si="168"/>
        <v>5.60395256916996E-2</v>
      </c>
      <c r="K139" s="237">
        <f t="shared" si="168"/>
        <v>5.9907834101382486E-2</v>
      </c>
      <c r="L139" s="237">
        <f t="shared" si="168"/>
        <v>5.8823529411764705E-2</v>
      </c>
      <c r="M139" s="237">
        <f t="shared" si="168"/>
        <v>3.391572456320658E-2</v>
      </c>
      <c r="N139" s="237">
        <f t="shared" si="168"/>
        <v>5.8350100603621731E-2</v>
      </c>
      <c r="O139" s="237">
        <f t="shared" si="168"/>
        <v>6.1416542842991577E-2</v>
      </c>
      <c r="P139" s="237">
        <f t="shared" si="168"/>
        <v>5.7963709677419352E-2</v>
      </c>
      <c r="Q139" s="237">
        <f t="shared" si="168"/>
        <v>6.0606060606060608E-2</v>
      </c>
      <c r="R139" s="237">
        <f t="shared" si="168"/>
        <v>5.7156814851001464E-2</v>
      </c>
      <c r="S139" s="240">
        <f t="shared" si="168"/>
        <v>6.1845386533665836E-2</v>
      </c>
      <c r="T139" s="241">
        <f t="shared" si="168"/>
        <v>6.9803516028955528E-2</v>
      </c>
      <c r="U139" s="241">
        <f t="shared" si="168"/>
        <v>6.8617558022199793E-2</v>
      </c>
      <c r="V139" s="241">
        <f t="shared" si="168"/>
        <v>6.5088757396449703E-2</v>
      </c>
      <c r="W139" s="116">
        <f t="shared" si="168"/>
        <v>7.3635427394438721E-2</v>
      </c>
      <c r="X139" s="116">
        <f t="shared" si="168"/>
        <v>7.1058091286307051E-2</v>
      </c>
      <c r="Y139" s="116">
        <f t="shared" si="168"/>
        <v>7.716049382716049E-2</v>
      </c>
      <c r="Z139" s="116">
        <f t="shared" si="168"/>
        <v>7.6963626779124938E-2</v>
      </c>
      <c r="AA139" s="116">
        <f t="shared" si="168"/>
        <v>7.6335877862595422E-2</v>
      </c>
      <c r="AB139" s="116">
        <f t="shared" si="168"/>
        <v>7.7294685990338161E-2</v>
      </c>
      <c r="AC139" s="116">
        <f t="shared" si="168"/>
        <v>7.8891257995735611E-2</v>
      </c>
      <c r="AD139" s="116">
        <f t="shared" si="168"/>
        <v>9.1675447839831406E-2</v>
      </c>
      <c r="AE139" s="116">
        <f t="shared" si="168"/>
        <v>8.4585420144685591E-2</v>
      </c>
      <c r="AF139" s="116">
        <f t="shared" si="168"/>
        <v>9.4157685762904147E-2</v>
      </c>
      <c r="AG139" s="116">
        <f t="shared" si="168"/>
        <v>8.6294416243654817E-2</v>
      </c>
      <c r="AH139" s="116">
        <f t="shared" si="168"/>
        <v>0.10158013544018059</v>
      </c>
      <c r="AI139" s="116">
        <f t="shared" ref="AI139:AZ139" si="169">AI44/AI$10</f>
        <v>9.3050647820965837E-2</v>
      </c>
      <c r="AJ139" s="116">
        <f t="shared" si="169"/>
        <v>0.10722891566265061</v>
      </c>
      <c r="AK139" s="116">
        <f t="shared" si="169"/>
        <v>0.10221159593544531</v>
      </c>
      <c r="AL139" s="116">
        <f t="shared" si="169"/>
        <v>9.8015634395670473E-2</v>
      </c>
      <c r="AM139" s="116">
        <f t="shared" si="169"/>
        <v>0.10997596153846154</v>
      </c>
      <c r="AN139" s="116">
        <f t="shared" si="169"/>
        <v>0.10551274451689389</v>
      </c>
      <c r="AO139" s="116">
        <f t="shared" si="169"/>
        <v>0.10670553935860058</v>
      </c>
      <c r="AP139" s="116">
        <f t="shared" si="169"/>
        <v>0.11409796893667862</v>
      </c>
      <c r="AQ139" s="116">
        <f t="shared" si="169"/>
        <v>0.12367491166077739</v>
      </c>
      <c r="AR139" s="116">
        <f t="shared" si="169"/>
        <v>0.11098398169336385</v>
      </c>
      <c r="AS139" s="116">
        <f t="shared" si="169"/>
        <v>0.10916289592760181</v>
      </c>
      <c r="AT139" s="116">
        <f t="shared" si="169"/>
        <v>0.12046848856664807</v>
      </c>
      <c r="AU139" s="116">
        <f t="shared" si="169"/>
        <v>0.11210762331838565</v>
      </c>
      <c r="AV139" s="116">
        <f t="shared" si="169"/>
        <v>0.1135469364811692</v>
      </c>
      <c r="AW139" s="116">
        <f t="shared" si="169"/>
        <v>0.15337763012181616</v>
      </c>
      <c r="AX139" s="116">
        <f t="shared" si="169"/>
        <v>0.10917979359043997</v>
      </c>
      <c r="AY139" s="116">
        <f t="shared" si="169"/>
        <v>0.10984230560087004</v>
      </c>
      <c r="AZ139" s="116">
        <f t="shared" si="169"/>
        <v>0.11249323958896701</v>
      </c>
      <c r="BA139" s="116">
        <f t="shared" ref="BA139:BB139" si="170">BA44/BA$10</f>
        <v>0.11009174311926606</v>
      </c>
      <c r="BB139" s="116">
        <f t="shared" si="170"/>
        <v>0.1205141938939475</v>
      </c>
    </row>
    <row r="140" spans="2:56" ht="14.55" customHeight="1" x14ac:dyDescent="0.3">
      <c r="B140" s="42" t="s">
        <v>335</v>
      </c>
      <c r="C140" s="237">
        <f t="shared" ref="C140:AH140" si="171">C45/C$10</f>
        <v>6.3966110019646361E-2</v>
      </c>
      <c r="D140" s="237">
        <f t="shared" si="171"/>
        <v>7.1571840461316677E-2</v>
      </c>
      <c r="E140" s="237">
        <f t="shared" si="171"/>
        <v>8.4735721200387221E-2</v>
      </c>
      <c r="F140" s="237">
        <f t="shared" si="171"/>
        <v>8.1927996210326856E-2</v>
      </c>
      <c r="G140" s="237">
        <f t="shared" si="171"/>
        <v>7.6590513068731852E-2</v>
      </c>
      <c r="H140" s="237">
        <f t="shared" si="171"/>
        <v>6.6747455162384867E-2</v>
      </c>
      <c r="I140" s="237">
        <f t="shared" si="171"/>
        <v>6.5499756216479771E-2</v>
      </c>
      <c r="J140" s="237">
        <f t="shared" si="171"/>
        <v>7.0324110671936765E-2</v>
      </c>
      <c r="K140" s="237">
        <f t="shared" si="171"/>
        <v>7.1172555043522781E-2</v>
      </c>
      <c r="L140" s="237">
        <f t="shared" si="171"/>
        <v>6.1381074168797956E-2</v>
      </c>
      <c r="M140" s="237">
        <f t="shared" si="171"/>
        <v>7.5025693730729703E-2</v>
      </c>
      <c r="N140" s="237">
        <f t="shared" si="171"/>
        <v>8.6016096579476856E-2</v>
      </c>
      <c r="O140" s="237">
        <f t="shared" si="171"/>
        <v>6.0425953442298168E-2</v>
      </c>
      <c r="P140" s="237">
        <f t="shared" si="171"/>
        <v>5.7963709677419352E-2</v>
      </c>
      <c r="Q140" s="237">
        <f t="shared" si="171"/>
        <v>6.89149560117302E-2</v>
      </c>
      <c r="R140" s="237">
        <f t="shared" si="171"/>
        <v>7.6209086468001952E-2</v>
      </c>
      <c r="S140" s="240">
        <f t="shared" si="171"/>
        <v>4.139650872817955E-2</v>
      </c>
      <c r="T140" s="241">
        <f t="shared" si="171"/>
        <v>5.8428128231644262E-2</v>
      </c>
      <c r="U140" s="241">
        <f t="shared" si="171"/>
        <v>4.3390514631685168E-2</v>
      </c>
      <c r="V140" s="241">
        <f t="shared" si="171"/>
        <v>5.128205128205128E-2</v>
      </c>
      <c r="W140" s="116">
        <f t="shared" si="171"/>
        <v>4.9948506694129764E-2</v>
      </c>
      <c r="X140" s="116">
        <f t="shared" si="171"/>
        <v>3.4751037344398342E-2</v>
      </c>
      <c r="Y140" s="116">
        <f t="shared" si="171"/>
        <v>3.292181069958848E-2</v>
      </c>
      <c r="Z140" s="116">
        <f t="shared" si="171"/>
        <v>5.6404849762783343E-2</v>
      </c>
      <c r="AA140" s="116">
        <f t="shared" si="171"/>
        <v>4.4165757906215922E-2</v>
      </c>
      <c r="AB140" s="116">
        <f t="shared" si="171"/>
        <v>5.1529790660225443E-2</v>
      </c>
      <c r="AC140" s="116">
        <f t="shared" si="171"/>
        <v>4.7974413646055439E-2</v>
      </c>
      <c r="AD140" s="116">
        <f t="shared" si="171"/>
        <v>0.11222339304531086</v>
      </c>
      <c r="AE140" s="116">
        <f t="shared" si="171"/>
        <v>5.7874234835837507E-2</v>
      </c>
      <c r="AF140" s="116">
        <f t="shared" si="171"/>
        <v>2.7793533749290982E-2</v>
      </c>
      <c r="AG140" s="116">
        <f t="shared" si="171"/>
        <v>5.0761421319796954E-2</v>
      </c>
      <c r="AH140" s="116">
        <f t="shared" si="171"/>
        <v>6.4334085778781039E-2</v>
      </c>
      <c r="AI140" s="116">
        <f t="shared" ref="AI140:AZ140" si="172">AI45/AI$10</f>
        <v>6.3015312131919909E-2</v>
      </c>
      <c r="AJ140" s="116">
        <f t="shared" si="172"/>
        <v>5.7228915662650599E-2</v>
      </c>
      <c r="AK140" s="116">
        <f t="shared" si="172"/>
        <v>6.6347878063359234E-2</v>
      </c>
      <c r="AL140" s="116">
        <f t="shared" si="172"/>
        <v>8.4185207456404093E-2</v>
      </c>
      <c r="AM140" s="116">
        <f t="shared" si="172"/>
        <v>5.9495192307692304E-2</v>
      </c>
      <c r="AN140" s="116">
        <f t="shared" si="172"/>
        <v>5.0978067575577948E-2</v>
      </c>
      <c r="AO140" s="116">
        <f t="shared" si="172"/>
        <v>5.9475218658892132E-2</v>
      </c>
      <c r="AP140" s="116">
        <f t="shared" si="172"/>
        <v>6.8100358422939072E-2</v>
      </c>
      <c r="AQ140" s="116">
        <f t="shared" si="172"/>
        <v>5.1236749116607777E-2</v>
      </c>
      <c r="AR140" s="116">
        <f t="shared" si="172"/>
        <v>5.4919908466819219E-2</v>
      </c>
      <c r="AS140" s="116">
        <f t="shared" si="172"/>
        <v>5.7692307692307696E-2</v>
      </c>
      <c r="AT140" s="116">
        <f t="shared" si="172"/>
        <v>6.0791968767428893E-2</v>
      </c>
      <c r="AU140" s="116">
        <f t="shared" si="172"/>
        <v>5.9417040358744393E-2</v>
      </c>
      <c r="AV140" s="116">
        <f t="shared" si="172"/>
        <v>5.2838673412029233E-2</v>
      </c>
      <c r="AW140" s="116">
        <f t="shared" si="172"/>
        <v>5.647840531561462E-2</v>
      </c>
      <c r="AX140" s="116">
        <f t="shared" si="172"/>
        <v>6.8441064638783272E-2</v>
      </c>
      <c r="AY140" s="116">
        <f t="shared" si="172"/>
        <v>5.5464926590538338E-2</v>
      </c>
      <c r="AZ140" s="116">
        <f t="shared" si="172"/>
        <v>5.8950784207679824E-2</v>
      </c>
      <c r="BA140" s="116">
        <f t="shared" ref="BA140:BB140" si="173">BA45/BA$10</f>
        <v>6.9077172153264976E-2</v>
      </c>
      <c r="BB140" s="116">
        <f t="shared" si="173"/>
        <v>6.5881092662024632E-2</v>
      </c>
    </row>
    <row r="141" spans="2:56" ht="14.55" customHeight="1" x14ac:dyDescent="0.3">
      <c r="B141" s="42" t="s">
        <v>336</v>
      </c>
      <c r="C141" s="123"/>
      <c r="D141" s="123"/>
      <c r="E141" s="123"/>
      <c r="F141" s="123"/>
      <c r="G141" s="123"/>
      <c r="H141" s="123"/>
      <c r="I141" s="123"/>
      <c r="J141" s="123"/>
      <c r="K141" s="123"/>
      <c r="L141" s="123"/>
      <c r="M141" s="123"/>
      <c r="N141" s="123"/>
      <c r="O141" s="123"/>
      <c r="P141" s="123"/>
      <c r="Q141" s="123"/>
      <c r="R141" s="123"/>
      <c r="S141" s="240">
        <f t="shared" ref="S141:AD141" si="174">S51/S$10</f>
        <v>1.6957605985037406E-2</v>
      </c>
      <c r="T141" s="241">
        <f t="shared" si="174"/>
        <v>1.8614270941054809E-2</v>
      </c>
      <c r="U141" s="241">
        <f t="shared" si="174"/>
        <v>2.0181634712411706E-2</v>
      </c>
      <c r="V141" s="241">
        <f t="shared" si="174"/>
        <v>1.8244575936883629E-2</v>
      </c>
      <c r="W141" s="116">
        <f t="shared" si="174"/>
        <v>2.1112255406797117E-2</v>
      </c>
      <c r="X141" s="116">
        <f t="shared" si="174"/>
        <v>2.1784232365145227E-2</v>
      </c>
      <c r="Y141" s="116">
        <f t="shared" si="174"/>
        <v>2.9835390946502057E-2</v>
      </c>
      <c r="Z141" s="116">
        <f t="shared" si="174"/>
        <v>3.0047443331576173E-2</v>
      </c>
      <c r="AA141" s="116">
        <f t="shared" si="174"/>
        <v>2.2900763358778626E-2</v>
      </c>
      <c r="AB141" s="116">
        <f t="shared" si="174"/>
        <v>3.3279656468062267E-2</v>
      </c>
      <c r="AC141" s="116">
        <f t="shared" si="174"/>
        <v>2.5053304904051173E-2</v>
      </c>
      <c r="AD141" s="116">
        <f t="shared" si="174"/>
        <v>3.3719704952581663E-2</v>
      </c>
      <c r="AE141" s="126">
        <v>3.3945464663327769E-2</v>
      </c>
      <c r="AF141" s="126">
        <v>3.5734543391945546E-2</v>
      </c>
      <c r="AG141" s="126">
        <v>3.553299492385787E-2</v>
      </c>
      <c r="AH141" s="126">
        <v>3.8374717832957109E-2</v>
      </c>
      <c r="AI141" s="126">
        <v>3.0624263839811542E-2</v>
      </c>
      <c r="AJ141" s="126">
        <v>2.9518072289156625E-2</v>
      </c>
      <c r="AK141" s="126">
        <v>3.0484160191273164E-2</v>
      </c>
      <c r="AL141" s="116">
        <f t="shared" ref="AL141:AZ141" si="175">AL51/AL$10</f>
        <v>3.3072760072158751E-2</v>
      </c>
      <c r="AM141" s="116">
        <f t="shared" si="175"/>
        <v>3.3052884615384616E-2</v>
      </c>
      <c r="AN141" s="116">
        <f t="shared" si="175"/>
        <v>2.7860106698280974E-2</v>
      </c>
      <c r="AO141" s="116">
        <f t="shared" si="175"/>
        <v>3.0903790087463558E-2</v>
      </c>
      <c r="AP141" s="116">
        <f t="shared" si="175"/>
        <v>3.3452807646356032E-2</v>
      </c>
      <c r="AQ141" s="116">
        <f t="shared" si="175"/>
        <v>0</v>
      </c>
      <c r="AR141" s="116">
        <f t="shared" si="175"/>
        <v>0</v>
      </c>
      <c r="AS141" s="116">
        <f t="shared" si="175"/>
        <v>0</v>
      </c>
      <c r="AT141" s="116">
        <f t="shared" si="175"/>
        <v>0</v>
      </c>
      <c r="AU141" s="116">
        <f t="shared" si="175"/>
        <v>0</v>
      </c>
      <c r="AV141" s="116">
        <f t="shared" si="175"/>
        <v>0</v>
      </c>
      <c r="AW141" s="116">
        <f t="shared" si="175"/>
        <v>0</v>
      </c>
      <c r="AX141" s="116">
        <f t="shared" si="175"/>
        <v>0</v>
      </c>
      <c r="AY141" s="116">
        <f t="shared" si="175"/>
        <v>0</v>
      </c>
      <c r="AZ141" s="116">
        <f t="shared" si="175"/>
        <v>0</v>
      </c>
      <c r="BA141" s="116">
        <f t="shared" ref="BA141:BB141" si="176">BA51/BA$10</f>
        <v>0</v>
      </c>
      <c r="BB141" s="116">
        <f t="shared" si="176"/>
        <v>0</v>
      </c>
    </row>
    <row r="142" spans="2:56" ht="14.55" customHeight="1" x14ac:dyDescent="0.3">
      <c r="B142" s="42" t="s">
        <v>337</v>
      </c>
      <c r="C142" s="237">
        <f t="shared" ref="C142:R142" si="177">C52/C$10</f>
        <v>-1.1010559921414538E-2</v>
      </c>
      <c r="D142" s="237">
        <f t="shared" si="177"/>
        <v>1.2284718885151369E-2</v>
      </c>
      <c r="E142" s="237">
        <f t="shared" si="177"/>
        <v>1.0726040658276863E-2</v>
      </c>
      <c r="F142" s="237">
        <f t="shared" si="177"/>
        <v>4.3694931312174322E-3</v>
      </c>
      <c r="G142" s="237">
        <f t="shared" si="177"/>
        <v>1.0136979670861567E-2</v>
      </c>
      <c r="H142" s="237">
        <f t="shared" si="177"/>
        <v>7.7872031022782366E-3</v>
      </c>
      <c r="I142" s="237">
        <f t="shared" si="177"/>
        <v>4.3666504144319841E-3</v>
      </c>
      <c r="J142" s="237">
        <f t="shared" si="177"/>
        <v>1.098814229249012E-2</v>
      </c>
      <c r="K142" s="237">
        <f t="shared" si="177"/>
        <v>5.7859703020993348E-3</v>
      </c>
      <c r="L142" s="237">
        <f t="shared" si="177"/>
        <v>4.7570332480818414E-3</v>
      </c>
      <c r="M142" s="237">
        <f t="shared" si="177"/>
        <v>7.4511819116135662E-3</v>
      </c>
      <c r="N142" s="237">
        <f t="shared" si="177"/>
        <v>8.903420523138833E-3</v>
      </c>
      <c r="O142" s="237">
        <f t="shared" si="177"/>
        <v>1.2382367508667657E-3</v>
      </c>
      <c r="P142" s="237">
        <f t="shared" si="177"/>
        <v>5.0907258064516129E-3</v>
      </c>
      <c r="Q142" s="237">
        <f t="shared" si="177"/>
        <v>3.4213098729227761E-3</v>
      </c>
      <c r="R142" s="237">
        <f t="shared" si="177"/>
        <v>3.9081582804103565E-3</v>
      </c>
      <c r="S142" s="124">
        <f t="shared" ref="S142:AD142" si="178">S52/S$10</f>
        <v>-9.9750623441396502E-4</v>
      </c>
      <c r="T142" s="116">
        <f t="shared" si="178"/>
        <v>1.0341261633919339E-3</v>
      </c>
      <c r="U142" s="116">
        <f t="shared" si="178"/>
        <v>-1.7658930373360242E-2</v>
      </c>
      <c r="V142" s="116">
        <f t="shared" si="178"/>
        <v>-1.232741617357002E-2</v>
      </c>
      <c r="W142" s="116">
        <f t="shared" si="178"/>
        <v>-5.1493305870236872E-3</v>
      </c>
      <c r="X142" s="116">
        <f t="shared" si="178"/>
        <v>-8.8174273858921161E-3</v>
      </c>
      <c r="Y142" s="116">
        <f t="shared" si="178"/>
        <v>-9.7736625514403298E-3</v>
      </c>
      <c r="Z142" s="116">
        <f t="shared" si="178"/>
        <v>-1.1597258829731154E-2</v>
      </c>
      <c r="AA142" s="116">
        <f t="shared" si="178"/>
        <v>-2.7262813522355507E-3</v>
      </c>
      <c r="AB142" s="116">
        <f t="shared" si="178"/>
        <v>0.37037037037037035</v>
      </c>
      <c r="AC142" s="116">
        <f t="shared" si="178"/>
        <v>0.35447761194029853</v>
      </c>
      <c r="AD142" s="116">
        <f t="shared" si="178"/>
        <v>0.46522655426765014</v>
      </c>
      <c r="AE142" s="126">
        <v>-2.7824151363383415E-3</v>
      </c>
      <c r="AF142" s="126">
        <v>-6.239364719228588E-3</v>
      </c>
      <c r="AG142" s="126">
        <v>-1.804850535815003E-2</v>
      </c>
      <c r="AH142" s="126">
        <v>-7.900677200902935E-3</v>
      </c>
      <c r="AI142" s="126">
        <v>3.2391048292108364E-2</v>
      </c>
      <c r="AJ142" s="126">
        <v>4.457831325301205E-2</v>
      </c>
      <c r="AK142" s="126">
        <v>-4.1841004184100415E-3</v>
      </c>
      <c r="AL142" s="116">
        <f>AL52/AL$10</f>
        <v>0.48707155742633795</v>
      </c>
      <c r="AM142" s="116">
        <f>AM52/AM$10</f>
        <v>0.2734375</v>
      </c>
      <c r="AN142" s="116">
        <f>AN52/AN$10</f>
        <v>0.25014819205690575</v>
      </c>
      <c r="AO142" s="116">
        <f>AO52/AO$10</f>
        <v>0.2868804664723032</v>
      </c>
      <c r="AP142" s="116">
        <f>AP52/AP$10</f>
        <v>0.25567502986857826</v>
      </c>
      <c r="AQ142" s="116">
        <f>AQ49/AQ$10</f>
        <v>0</v>
      </c>
      <c r="AR142" s="116">
        <f t="shared" ref="AR142:AZ142" si="179">AR52/AR$10</f>
        <v>0.32837528604118993</v>
      </c>
      <c r="AS142" s="116">
        <f t="shared" si="179"/>
        <v>0.32522624434389141</v>
      </c>
      <c r="AT142" s="116">
        <f t="shared" si="179"/>
        <v>0.31232571109871721</v>
      </c>
      <c r="AU142" s="116">
        <f t="shared" si="179"/>
        <v>0.30437219730941706</v>
      </c>
      <c r="AV142" s="116">
        <f t="shared" si="179"/>
        <v>0.30578976953344578</v>
      </c>
      <c r="AW142" s="116">
        <f t="shared" si="179"/>
        <v>0.30121816168327797</v>
      </c>
      <c r="AX142" s="116">
        <f t="shared" si="179"/>
        <v>0.67191743617599131</v>
      </c>
      <c r="AY142" s="116">
        <f t="shared" si="179"/>
        <v>0.59760739532354545</v>
      </c>
      <c r="AZ142" s="116">
        <f t="shared" si="179"/>
        <v>0</v>
      </c>
      <c r="BA142" s="116">
        <f t="shared" ref="BA142:BB142" si="180">BA52/BA$10</f>
        <v>0</v>
      </c>
      <c r="BB142" s="116">
        <f t="shared" si="180"/>
        <v>0</v>
      </c>
    </row>
    <row r="143" spans="2:56" ht="14.55" customHeight="1" thickBot="1" x14ac:dyDescent="0.35">
      <c r="B143" s="42"/>
      <c r="C143" s="47"/>
      <c r="D143" s="117"/>
      <c r="E143" s="117"/>
      <c r="F143" s="117"/>
      <c r="G143" s="117"/>
      <c r="H143" s="117"/>
      <c r="I143" s="117"/>
      <c r="J143" s="117"/>
      <c r="K143" s="117"/>
      <c r="L143" s="117"/>
      <c r="M143" s="117"/>
      <c r="N143" s="117"/>
      <c r="O143" s="117"/>
      <c r="P143" s="117"/>
      <c r="Q143" s="117"/>
      <c r="R143" s="117"/>
      <c r="S143" s="117"/>
      <c r="T143" s="117"/>
      <c r="U143" s="117"/>
      <c r="V143" s="117"/>
      <c r="W143" s="117"/>
      <c r="X143" s="117"/>
      <c r="Y143" s="117"/>
      <c r="Z143" s="117"/>
      <c r="AA143" s="117"/>
      <c r="AB143" s="117"/>
      <c r="AC143" s="117"/>
      <c r="AD143" s="117"/>
      <c r="AE143" s="118"/>
      <c r="AF143" s="118"/>
      <c r="AG143" s="118"/>
      <c r="AH143" s="118"/>
      <c r="AI143" s="118"/>
      <c r="AJ143" s="118"/>
      <c r="AK143" s="118"/>
      <c r="AL143" s="118"/>
      <c r="AM143" s="118"/>
      <c r="AN143" s="118"/>
      <c r="AO143" s="118"/>
      <c r="AP143" s="118"/>
      <c r="AQ143" s="118"/>
      <c r="AR143" s="118"/>
      <c r="AS143" s="118"/>
      <c r="AT143" s="118"/>
      <c r="AU143" s="118"/>
      <c r="AV143" s="118"/>
      <c r="AW143" s="118"/>
      <c r="AX143" s="118"/>
      <c r="AY143" s="118"/>
      <c r="AZ143" s="118"/>
      <c r="BA143" s="118"/>
      <c r="BB143" s="118"/>
    </row>
    <row r="144" spans="2:56" ht="14.55" customHeight="1" thickBot="1" x14ac:dyDescent="0.35">
      <c r="B144" s="37" t="s">
        <v>59</v>
      </c>
      <c r="C144" s="119"/>
      <c r="D144" s="129"/>
      <c r="E144" s="120"/>
      <c r="F144" s="120"/>
      <c r="G144" s="234">
        <f t="shared" ref="G144:AD144" si="181">G55/C55-1</f>
        <v>-9.715106821146402E-3</v>
      </c>
      <c r="H144" s="234">
        <f t="shared" si="181"/>
        <v>5.4177771448334688E-2</v>
      </c>
      <c r="I144" s="234">
        <f t="shared" si="181"/>
        <v>9.3162219761550924E-2</v>
      </c>
      <c r="J144" s="234">
        <f t="shared" si="181"/>
        <v>1.4541399623793305E-2</v>
      </c>
      <c r="K144" s="234">
        <f t="shared" si="181"/>
        <v>-4.3383909259335329E-2</v>
      </c>
      <c r="L144" s="234">
        <f t="shared" si="181"/>
        <v>-6.846962757106323E-2</v>
      </c>
      <c r="M144" s="234">
        <f t="shared" si="181"/>
        <v>-6.428407272664205E-2</v>
      </c>
      <c r="N144" s="234">
        <f t="shared" si="181"/>
        <v>-7.4854930870118852E-2</v>
      </c>
      <c r="O144" s="234">
        <f t="shared" si="181"/>
        <v>1.0324766951798514E-2</v>
      </c>
      <c r="P144" s="234">
        <f t="shared" si="181"/>
        <v>2.2085864715100989E-2</v>
      </c>
      <c r="Q144" s="234">
        <f t="shared" si="181"/>
        <v>2.9695262104248554E-2</v>
      </c>
      <c r="R144" s="234">
        <f t="shared" si="181"/>
        <v>0.12104932617035158</v>
      </c>
      <c r="S144" s="234">
        <f t="shared" si="181"/>
        <v>7.1001594048884176E-2</v>
      </c>
      <c r="T144" s="235">
        <f t="shared" si="181"/>
        <v>-9.0106484567845646E-2</v>
      </c>
      <c r="U144" s="235">
        <f t="shared" si="181"/>
        <v>2.9702970297029729E-2</v>
      </c>
      <c r="V144" s="236">
        <f t="shared" si="181"/>
        <v>5.8876003568242741E-2</v>
      </c>
      <c r="W144" s="121">
        <f t="shared" si="181"/>
        <v>-0.11800172265288544</v>
      </c>
      <c r="X144" s="121">
        <f t="shared" si="181"/>
        <v>-3.9603960396039639E-3</v>
      </c>
      <c r="Y144" s="121">
        <f t="shared" si="181"/>
        <v>-2.1853146853146876E-2</v>
      </c>
      <c r="Z144" s="121">
        <f t="shared" si="181"/>
        <v>-0.11878685762426289</v>
      </c>
      <c r="AA144" s="121">
        <f t="shared" si="181"/>
        <v>-3.90625E-3</v>
      </c>
      <c r="AB144" s="121">
        <f t="shared" si="181"/>
        <v>9.9403578528822756E-4</v>
      </c>
      <c r="AC144" s="121">
        <f t="shared" si="181"/>
        <v>-6.4343163538874037E-2</v>
      </c>
      <c r="AD144" s="121">
        <f t="shared" si="181"/>
        <v>-0.26481835564053535</v>
      </c>
      <c r="AE144" s="130">
        <v>-6.568627450980391E-2</v>
      </c>
      <c r="AF144" s="130">
        <v>-5.9582919563058612E-2</v>
      </c>
      <c r="AG144" s="130">
        <v>-7.9274116523400218E-2</v>
      </c>
      <c r="AH144" s="130">
        <v>0.17555266579973994</v>
      </c>
      <c r="AI144" s="130">
        <v>-3.46274921301154E-2</v>
      </c>
      <c r="AJ144" s="130">
        <v>-4.6462513199577615E-2</v>
      </c>
      <c r="AK144" s="130">
        <v>-4.1493775933609922E-2</v>
      </c>
      <c r="AL144" s="121">
        <f t="shared" ref="AL144:BB144" si="182">AL55/AH55-1</f>
        <v>-6.3492063492063266E-3</v>
      </c>
      <c r="AM144" s="121">
        <f t="shared" si="182"/>
        <v>-1.0395010395010118E-3</v>
      </c>
      <c r="AN144" s="121">
        <f t="shared" si="182"/>
        <v>6.3424947145877431E-2</v>
      </c>
      <c r="AO144" s="121">
        <f t="shared" si="182"/>
        <v>1.0341261633919352E-2</v>
      </c>
      <c r="AP144" s="121">
        <f t="shared" si="182"/>
        <v>-7.4547390841320782E-3</v>
      </c>
      <c r="AQ144" s="121">
        <f t="shared" si="182"/>
        <v>-3.5379812695109258E-2</v>
      </c>
      <c r="AR144" s="121">
        <f t="shared" si="182"/>
        <v>5.9642147117295874E-3</v>
      </c>
      <c r="AS144" s="121">
        <f t="shared" si="182"/>
        <v>2.763561924257929E-2</v>
      </c>
      <c r="AT144" s="121">
        <f t="shared" si="182"/>
        <v>5.7939914163090078E-2</v>
      </c>
      <c r="AU144" s="121">
        <f t="shared" si="182"/>
        <v>4.8543689320388328E-2</v>
      </c>
      <c r="AV144" s="121">
        <f t="shared" si="182"/>
        <v>-9.8814229249012397E-3</v>
      </c>
      <c r="AW144" s="121">
        <f t="shared" si="182"/>
        <v>-7.4701195219123551E-2</v>
      </c>
      <c r="AX144" s="121">
        <f t="shared" si="182"/>
        <v>7.2008113590263712E-2</v>
      </c>
      <c r="AY144" s="121">
        <f t="shared" si="182"/>
        <v>7.4074074074074181E-2</v>
      </c>
      <c r="AZ144" s="121">
        <f t="shared" si="182"/>
        <v>4.3912175648702645E-2</v>
      </c>
      <c r="BA144" s="121">
        <f t="shared" si="182"/>
        <v>0.12809472551130252</v>
      </c>
      <c r="BB144" s="121">
        <f t="shared" si="182"/>
        <v>-6.9063386944181682E-2</v>
      </c>
      <c r="BC144" s="37"/>
      <c r="BD144" s="37"/>
    </row>
    <row r="145" spans="1:72" ht="14.55" customHeight="1" x14ac:dyDescent="0.3">
      <c r="B145" s="38" t="s">
        <v>60</v>
      </c>
      <c r="C145" s="47"/>
      <c r="D145" s="124">
        <f t="shared" ref="D145:AD145" si="183">D55/C55-1</f>
        <v>-2.3551640337536539E-2</v>
      </c>
      <c r="E145" s="124">
        <f t="shared" si="183"/>
        <v>-4.6228895263542236E-2</v>
      </c>
      <c r="F145" s="124">
        <f t="shared" si="183"/>
        <v>1.0007432575918518E-2</v>
      </c>
      <c r="G145" s="124">
        <f t="shared" si="183"/>
        <v>5.2790950015581428E-2</v>
      </c>
      <c r="H145" s="124">
        <f t="shared" si="183"/>
        <v>3.9448509023603417E-2</v>
      </c>
      <c r="I145" s="124">
        <f t="shared" si="183"/>
        <v>-1.0957576381383616E-2</v>
      </c>
      <c r="J145" s="124">
        <f t="shared" si="183"/>
        <v>-6.2632850136806861E-2</v>
      </c>
      <c r="K145" s="124">
        <f t="shared" si="183"/>
        <v>-7.3182194984753313E-3</v>
      </c>
      <c r="L145" s="124">
        <f t="shared" si="183"/>
        <v>1.2190643774104171E-2</v>
      </c>
      <c r="M145" s="124">
        <f t="shared" si="183"/>
        <v>-6.5136082295766951E-3</v>
      </c>
      <c r="N145" s="124">
        <f t="shared" si="183"/>
        <v>-7.3222362274783293E-2</v>
      </c>
      <c r="O145" s="124">
        <f t="shared" si="183"/>
        <v>8.4079699506778294E-2</v>
      </c>
      <c r="P145" s="124">
        <f t="shared" si="183"/>
        <v>2.3973462038020976E-2</v>
      </c>
      <c r="Q145" s="124">
        <f t="shared" si="183"/>
        <v>8.828669753697671E-4</v>
      </c>
      <c r="R145" s="124">
        <f t="shared" si="183"/>
        <v>9.0009000900090896E-3</v>
      </c>
      <c r="S145" s="124">
        <f t="shared" si="183"/>
        <v>3.5682426404995526E-2</v>
      </c>
      <c r="T145" s="116">
        <f t="shared" si="183"/>
        <v>-0.13006029285099052</v>
      </c>
      <c r="U145" s="116">
        <f t="shared" si="183"/>
        <v>0.13267326732673257</v>
      </c>
      <c r="V145" s="116">
        <f t="shared" si="183"/>
        <v>3.7587412587412494E-2</v>
      </c>
      <c r="W145" s="116">
        <f t="shared" si="183"/>
        <v>-0.1373209772535805</v>
      </c>
      <c r="X145" s="116">
        <f t="shared" si="183"/>
        <v>-1.7578125E-2</v>
      </c>
      <c r="Y145" s="116">
        <f t="shared" si="183"/>
        <v>0.1123260437375746</v>
      </c>
      <c r="Z145" s="116">
        <f t="shared" si="183"/>
        <v>-6.5236818588024992E-2</v>
      </c>
      <c r="AA145" s="116">
        <f t="shared" si="183"/>
        <v>-2.4856596558317401E-2</v>
      </c>
      <c r="AB145" s="116">
        <f t="shared" si="183"/>
        <v>-1.2745098039215641E-2</v>
      </c>
      <c r="AC145" s="116">
        <f t="shared" si="183"/>
        <v>3.9721946375372408E-2</v>
      </c>
      <c r="AD145" s="116">
        <f t="shared" si="183"/>
        <v>-0.26552053486150906</v>
      </c>
      <c r="AE145" s="126">
        <v>0.23927178153446027</v>
      </c>
      <c r="AF145" s="126">
        <v>-6.2959076600209718E-3</v>
      </c>
      <c r="AG145" s="126">
        <v>1.7951425554382228E-2</v>
      </c>
      <c r="AH145" s="126">
        <v>-6.2240663900414939E-2</v>
      </c>
      <c r="AI145" s="126">
        <v>1.7699115044247815E-2</v>
      </c>
      <c r="AJ145" s="126">
        <v>-1.8478260869565166E-2</v>
      </c>
      <c r="AK145" s="126">
        <v>2.3255813953488413E-2</v>
      </c>
      <c r="AL145" s="116">
        <f t="shared" ref="AL145:AZ145" si="184">AL55/AK55-1</f>
        <v>-2.8955532574974185E-2</v>
      </c>
      <c r="AM145" s="116">
        <f t="shared" si="184"/>
        <v>2.3429179978700754E-2</v>
      </c>
      <c r="AN145" s="116">
        <f t="shared" si="184"/>
        <v>4.6826222684703378E-2</v>
      </c>
      <c r="AO145" s="116">
        <f t="shared" si="184"/>
        <v>-2.882703777335982E-2</v>
      </c>
      <c r="AP145" s="116">
        <f t="shared" si="184"/>
        <v>-4.6059365404298891E-2</v>
      </c>
      <c r="AQ145" s="116">
        <f t="shared" si="184"/>
        <v>-5.3648068669528426E-3</v>
      </c>
      <c r="AR145" s="116">
        <f t="shared" si="184"/>
        <v>9.1693635382955829E-2</v>
      </c>
      <c r="AS145" s="116">
        <f t="shared" si="184"/>
        <v>-7.905138339920903E-3</v>
      </c>
      <c r="AT145" s="116">
        <f t="shared" si="184"/>
        <v>-1.7928286852589626E-2</v>
      </c>
      <c r="AU145" s="116">
        <f t="shared" si="184"/>
        <v>-1.4198782961460488E-2</v>
      </c>
      <c r="AV145" s="116">
        <f t="shared" si="184"/>
        <v>3.0864197530864113E-2</v>
      </c>
      <c r="AW145" s="116">
        <f t="shared" si="184"/>
        <v>-7.2854291417165706E-2</v>
      </c>
      <c r="AX145" s="116">
        <f t="shared" si="184"/>
        <v>0.13778256189451032</v>
      </c>
      <c r="AY145" s="116">
        <f t="shared" si="184"/>
        <v>-1.2298959318826852E-2</v>
      </c>
      <c r="AZ145" s="116">
        <f t="shared" si="184"/>
        <v>1.9157088122605526E-3</v>
      </c>
      <c r="BA145" s="116">
        <f t="shared" ref="BA145:BB145" si="185">BA55/AZ55-1</f>
        <v>1.9120458891013214E-3</v>
      </c>
      <c r="BB145" s="116">
        <f t="shared" si="185"/>
        <v>-6.1068702290076327E-2</v>
      </c>
    </row>
    <row r="146" spans="1:72" ht="14.55" customHeight="1" x14ac:dyDescent="0.3">
      <c r="C146" s="47"/>
      <c r="D146" s="122"/>
      <c r="E146" s="122"/>
      <c r="F146" s="122"/>
      <c r="G146" s="122"/>
      <c r="H146" s="122"/>
      <c r="I146" s="122"/>
      <c r="J146" s="122"/>
      <c r="K146" s="122"/>
      <c r="L146" s="122"/>
      <c r="M146" s="122"/>
      <c r="N146" s="122"/>
      <c r="O146" s="122"/>
      <c r="P146" s="122"/>
      <c r="Q146" s="122"/>
      <c r="R146" s="122"/>
      <c r="S146" s="122"/>
      <c r="T146" s="123"/>
      <c r="U146" s="123"/>
      <c r="V146" s="123"/>
      <c r="W146" s="123"/>
      <c r="X146" s="123"/>
      <c r="Y146" s="123"/>
      <c r="Z146" s="123"/>
      <c r="AA146" s="123"/>
      <c r="AB146" s="123"/>
      <c r="AC146" s="123"/>
      <c r="AD146" s="123"/>
      <c r="AE146" s="123"/>
      <c r="AF146" s="123"/>
      <c r="AG146" s="123"/>
      <c r="AH146" s="123"/>
      <c r="AI146" s="123"/>
      <c r="AJ146" s="123"/>
      <c r="AK146" s="123"/>
      <c r="AL146" s="123"/>
      <c r="AM146" s="123"/>
      <c r="AN146" s="123"/>
      <c r="AO146" s="123"/>
      <c r="AP146" s="123"/>
      <c r="AQ146" s="123"/>
      <c r="AR146" s="123"/>
      <c r="AS146" s="123"/>
      <c r="AT146" s="123"/>
      <c r="AU146" s="123"/>
      <c r="AV146" s="123"/>
      <c r="AW146" s="123"/>
      <c r="AX146" s="123"/>
      <c r="AY146" s="123"/>
      <c r="AZ146" s="123"/>
      <c r="BA146" s="123"/>
      <c r="BB146" s="123"/>
    </row>
    <row r="147" spans="1:72" ht="14.55" customHeight="1" x14ac:dyDescent="0.3">
      <c r="B147" s="38" t="s">
        <v>139</v>
      </c>
      <c r="C147" s="47"/>
      <c r="D147" s="117"/>
      <c r="E147" s="122"/>
      <c r="F147" s="122"/>
      <c r="G147" s="124">
        <f t="shared" ref="G147:AD147" si="186">G60/C60-1</f>
        <v>-9.7087378640776656E-3</v>
      </c>
      <c r="H147" s="124">
        <f t="shared" si="186"/>
        <v>5.3345388788426762E-2</v>
      </c>
      <c r="I147" s="124">
        <f t="shared" si="186"/>
        <v>9.3838862559241676E-2</v>
      </c>
      <c r="J147" s="124">
        <f t="shared" si="186"/>
        <v>1.5023474178403662E-2</v>
      </c>
      <c r="K147" s="124">
        <f t="shared" si="186"/>
        <v>-4.3672014260249581E-2</v>
      </c>
      <c r="L147" s="124">
        <f t="shared" si="186"/>
        <v>-6.7811158798283255E-2</v>
      </c>
      <c r="M147" s="124">
        <f t="shared" si="186"/>
        <v>-6.4991334488734842E-2</v>
      </c>
      <c r="N147" s="124">
        <f t="shared" si="186"/>
        <v>-4.3478260869565188E-2</v>
      </c>
      <c r="O147" s="124">
        <f t="shared" si="186"/>
        <v>-2.4231127679403497E-2</v>
      </c>
      <c r="P147" s="124">
        <f t="shared" si="186"/>
        <v>1.3812154696132506E-2</v>
      </c>
      <c r="Q147" s="124">
        <f t="shared" si="186"/>
        <v>-5.3753475440222465E-2</v>
      </c>
      <c r="R147" s="124">
        <f t="shared" si="186"/>
        <v>0.12379110251450687</v>
      </c>
      <c r="S147" s="124">
        <f t="shared" si="186"/>
        <v>0.15854823304680044</v>
      </c>
      <c r="T147" s="124">
        <f t="shared" si="186"/>
        <v>-4.6321525885558601E-2</v>
      </c>
      <c r="U147" s="124">
        <f t="shared" si="186"/>
        <v>0.10675808031341827</v>
      </c>
      <c r="V147" s="124">
        <f t="shared" si="186"/>
        <v>-3.4423407917383297E-3</v>
      </c>
      <c r="W147" s="124">
        <f t="shared" si="186"/>
        <v>-0.16488046166529269</v>
      </c>
      <c r="X147" s="124">
        <f t="shared" si="186"/>
        <v>7.1428571428571397E-2</v>
      </c>
      <c r="Y147" s="124">
        <f t="shared" si="186"/>
        <v>-1.8584070796460184E-2</v>
      </c>
      <c r="Z147" s="116">
        <f t="shared" si="186"/>
        <v>-8.376511226252159E-2</v>
      </c>
      <c r="AA147" s="116">
        <f t="shared" si="186"/>
        <v>9.8716683119446369E-3</v>
      </c>
      <c r="AB147" s="116">
        <f t="shared" si="186"/>
        <v>-0.10488888888888892</v>
      </c>
      <c r="AC147" s="116">
        <f t="shared" si="186"/>
        <v>-7.5743913435527555E-2</v>
      </c>
      <c r="AD147" s="116">
        <f t="shared" si="186"/>
        <v>-0.28180961357210177</v>
      </c>
      <c r="AE147" s="126">
        <v>-7.7223851417399847E-2</v>
      </c>
      <c r="AF147" s="126">
        <v>-6.653426017874875E-2</v>
      </c>
      <c r="AG147" s="126">
        <v>-7.8048780487804836E-2</v>
      </c>
      <c r="AH147" s="126">
        <v>0.18635170603674545</v>
      </c>
      <c r="AI147" s="126">
        <v>-2.5423728813559365E-2</v>
      </c>
      <c r="AJ147" s="126">
        <v>-3.9361702127659548E-2</v>
      </c>
      <c r="AK147" s="126">
        <v>-2.2222222222222254E-2</v>
      </c>
      <c r="AL147" s="116">
        <f t="shared" ref="AL147:BB147" si="187">AL60/AH60-1</f>
        <v>-2.2222222222222254E-2</v>
      </c>
      <c r="AM147" s="116">
        <f t="shared" si="187"/>
        <v>1.8008474576271194E-2</v>
      </c>
      <c r="AN147" s="116">
        <f t="shared" si="187"/>
        <v>6.1833688699360234E-2</v>
      </c>
      <c r="AO147" s="116">
        <f t="shared" si="187"/>
        <v>1.6789087093389332E-2</v>
      </c>
      <c r="AP147" s="124">
        <f t="shared" si="187"/>
        <v>8.6580086580085869E-3</v>
      </c>
      <c r="AQ147" s="124">
        <f t="shared" si="187"/>
        <v>-3.5379812695109258E-2</v>
      </c>
      <c r="AR147" s="116">
        <f t="shared" si="187"/>
        <v>1.6064257028112428E-2</v>
      </c>
      <c r="AS147" s="116">
        <f t="shared" si="187"/>
        <v>3.6119711042311708E-2</v>
      </c>
      <c r="AT147" s="116">
        <f t="shared" si="187"/>
        <v>5.7939914163090078E-2</v>
      </c>
      <c r="AU147" s="116">
        <f t="shared" si="187"/>
        <v>4.8543689320388328E-2</v>
      </c>
      <c r="AV147" s="116">
        <f t="shared" si="187"/>
        <v>-9.8814229249012397E-3</v>
      </c>
      <c r="AW147" s="116">
        <f t="shared" si="187"/>
        <v>-7.4701195219123551E-2</v>
      </c>
      <c r="AX147" s="116">
        <f t="shared" si="187"/>
        <v>7.2008113590263712E-2</v>
      </c>
      <c r="AY147" s="116">
        <f t="shared" si="187"/>
        <v>7.4074074074074181E-2</v>
      </c>
      <c r="AZ147" s="116">
        <f t="shared" si="187"/>
        <v>4.3912175648702645E-2</v>
      </c>
      <c r="BA147" s="116">
        <f t="shared" si="187"/>
        <v>0.12809472551130252</v>
      </c>
      <c r="BB147" s="116">
        <f t="shared" si="187"/>
        <v>-6.9063386944181682E-2</v>
      </c>
    </row>
    <row r="148" spans="1:72" ht="14.55" customHeight="1" x14ac:dyDescent="0.3">
      <c r="B148" s="38" t="s">
        <v>140</v>
      </c>
      <c r="C148" s="47"/>
      <c r="D148" s="124">
        <f t="shared" ref="D148:AD148" si="188">D60/C60-1</f>
        <v>-2.383053839364524E-2</v>
      </c>
      <c r="E148" s="124">
        <f t="shared" si="188"/>
        <v>-4.6112115732368952E-2</v>
      </c>
      <c r="F148" s="124">
        <f t="shared" si="188"/>
        <v>9.4786729857820884E-3</v>
      </c>
      <c r="G148" s="124">
        <f t="shared" si="188"/>
        <v>5.3521126760563309E-2</v>
      </c>
      <c r="H148" s="124">
        <f t="shared" si="188"/>
        <v>3.8324420677361859E-2</v>
      </c>
      <c r="I148" s="124">
        <f t="shared" si="188"/>
        <v>-9.442060085836923E-3</v>
      </c>
      <c r="J148" s="124">
        <f t="shared" si="188"/>
        <v>-6.3258232235701928E-2</v>
      </c>
      <c r="K148" s="124">
        <f t="shared" si="188"/>
        <v>-7.4005550416281762E-3</v>
      </c>
      <c r="L148" s="124">
        <f t="shared" si="188"/>
        <v>1.2115563839701693E-2</v>
      </c>
      <c r="M148" s="124">
        <f t="shared" si="188"/>
        <v>-6.4456721915285842E-3</v>
      </c>
      <c r="N148" s="124">
        <f t="shared" si="188"/>
        <v>-4.1705282669138088E-2</v>
      </c>
      <c r="O148" s="124">
        <f t="shared" si="188"/>
        <v>1.2572533849129597E-2</v>
      </c>
      <c r="P148" s="124">
        <f t="shared" si="188"/>
        <v>5.1575931232091587E-2</v>
      </c>
      <c r="Q148" s="124">
        <f t="shared" si="188"/>
        <v>-7.2661217075385975E-2</v>
      </c>
      <c r="R148" s="124">
        <f t="shared" si="188"/>
        <v>0.138099902056807</v>
      </c>
      <c r="S148" s="124">
        <f t="shared" si="188"/>
        <v>4.3889845094664315E-2</v>
      </c>
      <c r="T148" s="124">
        <f t="shared" si="188"/>
        <v>-0.13437757625721347</v>
      </c>
      <c r="U148" s="124">
        <f t="shared" si="188"/>
        <v>7.6190476190476142E-2</v>
      </c>
      <c r="V148" s="124">
        <f t="shared" si="188"/>
        <v>2.4778761061946986E-2</v>
      </c>
      <c r="W148" s="124">
        <f t="shared" si="188"/>
        <v>-0.12521588946459417</v>
      </c>
      <c r="X148" s="124">
        <f t="shared" si="188"/>
        <v>0.11056268509378087</v>
      </c>
      <c r="Y148" s="124">
        <f t="shared" si="188"/>
        <v>-1.4222222222222247E-2</v>
      </c>
      <c r="Z148" s="116">
        <f t="shared" si="188"/>
        <v>-4.3282236248872841E-2</v>
      </c>
      <c r="AA148" s="116">
        <f t="shared" si="188"/>
        <v>-3.5815268614514562E-2</v>
      </c>
      <c r="AB148" s="116">
        <f t="shared" si="188"/>
        <v>-1.564027370478982E-2</v>
      </c>
      <c r="AC148" s="116">
        <f t="shared" si="188"/>
        <v>1.7874875868917561E-2</v>
      </c>
      <c r="AD148" s="116">
        <f t="shared" si="188"/>
        <v>-0.25658536585365854</v>
      </c>
      <c r="AE148" s="126">
        <v>0.23884514435695547</v>
      </c>
      <c r="AF148" s="126">
        <v>-4.237288135593209E-3</v>
      </c>
      <c r="AG148" s="126">
        <v>5.3191489361701372E-3</v>
      </c>
      <c r="AH148" s="126">
        <v>-4.3386243386243417E-2</v>
      </c>
      <c r="AI148" s="126">
        <v>1.7699115044247815E-2</v>
      </c>
      <c r="AJ148" s="126">
        <v>-1.8478260869565166E-2</v>
      </c>
      <c r="AK148" s="126">
        <v>2.3255813953488413E-2</v>
      </c>
      <c r="AL148" s="116">
        <f t="shared" ref="AL148:AZ148" si="189">AL60/AK60-1</f>
        <v>-3.0430220356768123E-2</v>
      </c>
      <c r="AM148" s="116">
        <f t="shared" si="189"/>
        <v>4.0043290043290103E-2</v>
      </c>
      <c r="AN148" s="116">
        <f t="shared" si="189"/>
        <v>3.6420395421435936E-2</v>
      </c>
      <c r="AO148" s="116">
        <f t="shared" si="189"/>
        <v>-2.7108433734939763E-2</v>
      </c>
      <c r="AP148" s="124">
        <f t="shared" si="189"/>
        <v>-3.818369453044379E-2</v>
      </c>
      <c r="AQ148" s="124">
        <f t="shared" si="189"/>
        <v>-5.3648068669528426E-3</v>
      </c>
      <c r="AR148" s="116">
        <f t="shared" si="189"/>
        <v>9.1693635382955829E-2</v>
      </c>
      <c r="AS148" s="116">
        <f t="shared" si="189"/>
        <v>-7.905138339920903E-3</v>
      </c>
      <c r="AT148" s="116">
        <f t="shared" si="189"/>
        <v>-1.7928286852589626E-2</v>
      </c>
      <c r="AU148" s="116">
        <f t="shared" si="189"/>
        <v>-1.4198782961460488E-2</v>
      </c>
      <c r="AV148" s="116">
        <f t="shared" si="189"/>
        <v>3.0864197530864113E-2</v>
      </c>
      <c r="AW148" s="116">
        <f t="shared" si="189"/>
        <v>-7.2854291417165706E-2</v>
      </c>
      <c r="AX148" s="116">
        <f t="shared" si="189"/>
        <v>0.13778256189451032</v>
      </c>
      <c r="AY148" s="116">
        <f t="shared" si="189"/>
        <v>-1.2298959318826852E-2</v>
      </c>
      <c r="AZ148" s="116">
        <f t="shared" si="189"/>
        <v>1.9157088122605526E-3</v>
      </c>
      <c r="BA148" s="116">
        <f t="shared" ref="BA148:BB148" si="190">BA60/AZ60-1</f>
        <v>1.9120458891013214E-3</v>
      </c>
      <c r="BB148" s="116">
        <f t="shared" si="190"/>
        <v>-6.1068702290076327E-2</v>
      </c>
    </row>
    <row r="149" spans="1:72" ht="14.55" customHeight="1" x14ac:dyDescent="0.3">
      <c r="C149" s="47"/>
      <c r="D149" s="117"/>
      <c r="E149" s="117"/>
      <c r="F149" s="117"/>
      <c r="G149" s="117"/>
      <c r="H149" s="117"/>
      <c r="I149" s="117"/>
      <c r="J149" s="117"/>
      <c r="K149" s="117"/>
      <c r="L149" s="117"/>
      <c r="M149" s="117"/>
      <c r="N149" s="117"/>
      <c r="O149" s="117"/>
      <c r="P149" s="117"/>
      <c r="Q149" s="117"/>
      <c r="R149" s="117"/>
      <c r="S149" s="117"/>
      <c r="T149" s="117"/>
      <c r="U149" s="117"/>
      <c r="V149" s="117"/>
      <c r="W149" s="117"/>
      <c r="X149" s="117"/>
      <c r="Y149" s="117"/>
      <c r="Z149" s="117"/>
      <c r="AA149" s="117"/>
      <c r="AB149" s="117"/>
      <c r="AC149" s="117"/>
      <c r="AD149" s="117"/>
      <c r="AE149" s="118"/>
      <c r="AF149" s="118"/>
      <c r="AG149" s="118"/>
      <c r="AH149" s="118"/>
      <c r="AI149" s="118"/>
      <c r="AJ149" s="118"/>
      <c r="AK149" s="118"/>
      <c r="AL149" s="118"/>
      <c r="AM149" s="118"/>
      <c r="AN149" s="118"/>
      <c r="AO149" s="118"/>
      <c r="AP149" s="118"/>
      <c r="AQ149" s="118"/>
      <c r="AR149" s="118"/>
      <c r="AS149" s="118"/>
      <c r="AT149" s="118"/>
      <c r="AU149" s="118"/>
      <c r="AV149" s="118"/>
      <c r="AW149" s="118"/>
      <c r="AX149" s="118"/>
      <c r="AY149" s="118"/>
      <c r="AZ149" s="118"/>
      <c r="BA149" s="118"/>
      <c r="BB149" s="118"/>
    </row>
    <row r="150" spans="1:72" s="113" customFormat="1" ht="14.55" customHeight="1" x14ac:dyDescent="0.3">
      <c r="A150" s="111" t="s">
        <v>98</v>
      </c>
      <c r="B150" s="111"/>
      <c r="C150" s="112"/>
      <c r="D150" s="112"/>
      <c r="E150" s="112"/>
      <c r="F150" s="112"/>
      <c r="G150" s="112"/>
      <c r="H150" s="112"/>
      <c r="I150" s="112"/>
      <c r="J150" s="112"/>
      <c r="K150" s="112"/>
      <c r="L150" s="112"/>
      <c r="M150" s="112"/>
      <c r="N150" s="112"/>
      <c r="O150" s="112"/>
      <c r="P150" s="112"/>
      <c r="Q150" s="112"/>
      <c r="R150" s="112"/>
      <c r="S150" s="112"/>
      <c r="T150" s="112"/>
      <c r="U150" s="112"/>
      <c r="V150" s="112"/>
      <c r="W150" s="112"/>
      <c r="X150" s="112"/>
      <c r="Y150" s="112"/>
      <c r="Z150" s="112"/>
      <c r="AA150" s="112"/>
      <c r="AB150" s="112"/>
      <c r="AC150" s="112"/>
      <c r="AD150" s="112"/>
      <c r="AE150" s="114"/>
      <c r="AF150" s="114"/>
      <c r="AG150" s="114"/>
      <c r="AH150" s="114"/>
      <c r="AI150" s="114"/>
      <c r="AJ150" s="114"/>
      <c r="AK150" s="114"/>
      <c r="AL150" s="114"/>
      <c r="AM150" s="114"/>
      <c r="AN150" s="114"/>
      <c r="AO150" s="114"/>
      <c r="AP150" s="114"/>
      <c r="AQ150" s="114"/>
      <c r="AR150" s="114"/>
      <c r="AS150" s="114"/>
      <c r="AT150" s="114"/>
      <c r="AU150" s="114"/>
      <c r="AV150" s="114"/>
      <c r="AW150" s="114"/>
      <c r="AX150" s="114"/>
      <c r="AY150" s="114"/>
      <c r="AZ150" s="114"/>
      <c r="BA150" s="114"/>
      <c r="BB150" s="114"/>
      <c r="BC150" s="111"/>
      <c r="BD150" s="111"/>
      <c r="BE150"/>
      <c r="BF150"/>
      <c r="BG150"/>
      <c r="BH150"/>
      <c r="BI150"/>
      <c r="BJ150"/>
      <c r="BK150"/>
      <c r="BL150"/>
      <c r="BM150"/>
      <c r="BN150"/>
      <c r="BO150"/>
      <c r="BP150"/>
      <c r="BQ150"/>
      <c r="BR150"/>
      <c r="BS150"/>
      <c r="BT150"/>
    </row>
    <row r="151" spans="1:72" ht="14.55" customHeight="1" x14ac:dyDescent="0.3">
      <c r="C151" s="47"/>
      <c r="D151" s="117"/>
      <c r="E151" s="117"/>
      <c r="F151" s="117"/>
      <c r="G151" s="117"/>
      <c r="H151" s="117"/>
      <c r="I151" s="117"/>
      <c r="J151" s="117"/>
      <c r="K151" s="117"/>
      <c r="L151" s="117"/>
      <c r="M151" s="117"/>
      <c r="N151" s="117"/>
      <c r="O151" s="117"/>
      <c r="P151" s="117"/>
      <c r="Q151" s="117"/>
      <c r="R151" s="117"/>
      <c r="S151" s="117"/>
      <c r="T151" s="117"/>
      <c r="U151" s="117"/>
      <c r="V151" s="117"/>
      <c r="W151" s="117"/>
      <c r="X151" s="117"/>
      <c r="Y151" s="117"/>
      <c r="Z151" s="117"/>
      <c r="AA151" s="117"/>
      <c r="AB151" s="117"/>
      <c r="AC151" s="117"/>
      <c r="AD151" s="117"/>
      <c r="AE151" s="118"/>
      <c r="AF151" s="118"/>
      <c r="AG151" s="118"/>
      <c r="AH151" s="118"/>
      <c r="AI151" s="118"/>
      <c r="AJ151" s="118"/>
      <c r="AK151" s="118"/>
      <c r="AL151" s="118"/>
      <c r="AM151" s="118"/>
      <c r="AN151" s="118"/>
      <c r="AO151" s="118"/>
      <c r="AP151" s="118"/>
      <c r="AQ151" s="118"/>
      <c r="AR151" s="118"/>
      <c r="AS151" s="118"/>
      <c r="AT151" s="118"/>
      <c r="AU151" s="118"/>
      <c r="AV151" s="118"/>
      <c r="AW151" s="118"/>
      <c r="AX151" s="118"/>
      <c r="AY151" s="118"/>
      <c r="AZ151" s="118"/>
      <c r="BA151" s="118"/>
      <c r="BB151" s="118"/>
    </row>
    <row r="152" spans="1:72" ht="14.55" customHeight="1" x14ac:dyDescent="0.3">
      <c r="B152" s="38" t="s">
        <v>22</v>
      </c>
      <c r="C152" s="47"/>
      <c r="D152" s="47"/>
      <c r="E152" s="47"/>
      <c r="F152" s="47"/>
      <c r="G152" s="116">
        <f t="shared" ref="G152:AD152" si="191">SUM(G65:G66)/SUM(C65:C66)-1</f>
        <v>0.25423728813559321</v>
      </c>
      <c r="H152" s="116">
        <f t="shared" si="191"/>
        <v>0.17647058823529416</v>
      </c>
      <c r="I152" s="116">
        <f t="shared" si="191"/>
        <v>4.844290657439454E-2</v>
      </c>
      <c r="J152" s="116">
        <f t="shared" si="191"/>
        <v>-0.27811860940695299</v>
      </c>
      <c r="K152" s="116">
        <f t="shared" si="191"/>
        <v>-0.10270270270270265</v>
      </c>
      <c r="L152" s="116">
        <f t="shared" si="191"/>
        <v>-1.4705882352941124E-2</v>
      </c>
      <c r="M152" s="116">
        <f t="shared" si="191"/>
        <v>7.5907590759075827E-2</v>
      </c>
      <c r="N152" s="116">
        <f t="shared" si="191"/>
        <v>-0.20113314447592068</v>
      </c>
      <c r="O152" s="116">
        <f t="shared" si="191"/>
        <v>-9.9397590361445798E-2</v>
      </c>
      <c r="P152" s="116">
        <f t="shared" si="191"/>
        <v>-8.3582089552238781E-2</v>
      </c>
      <c r="Q152" s="116">
        <f t="shared" si="191"/>
        <v>-5.2147239263803713E-2</v>
      </c>
      <c r="R152" s="116">
        <f t="shared" si="191"/>
        <v>0.16312056737588643</v>
      </c>
      <c r="S152" s="116">
        <f t="shared" si="191"/>
        <v>0.15719063545150491</v>
      </c>
      <c r="T152" s="116">
        <f t="shared" si="191"/>
        <v>9.446254071661242E-2</v>
      </c>
      <c r="U152" s="116">
        <f t="shared" si="191"/>
        <v>0.11326860841423958</v>
      </c>
      <c r="V152" s="116">
        <f t="shared" si="191"/>
        <v>8.5365853658536661E-2</v>
      </c>
      <c r="W152" s="116">
        <f t="shared" si="191"/>
        <v>-2.6011560693641633E-2</v>
      </c>
      <c r="X152" s="116">
        <f t="shared" si="191"/>
        <v>0</v>
      </c>
      <c r="Y152" s="116">
        <f t="shared" si="191"/>
        <v>5.232558139534893E-2</v>
      </c>
      <c r="Z152" s="116">
        <f t="shared" si="191"/>
        <v>7.5842696629213391E-2</v>
      </c>
      <c r="AA152" s="116">
        <f t="shared" si="191"/>
        <v>-0.30267062314540061</v>
      </c>
      <c r="AB152" s="116">
        <f t="shared" si="191"/>
        <v>-0.20238095238095233</v>
      </c>
      <c r="AC152" s="116">
        <f t="shared" si="191"/>
        <v>-0.28176795580110492</v>
      </c>
      <c r="AD152" s="116">
        <f t="shared" si="191"/>
        <v>-0.20365535248041777</v>
      </c>
      <c r="AE152" s="126">
        <v>0.25957446808510642</v>
      </c>
      <c r="AF152" s="126">
        <v>0.10074626865671643</v>
      </c>
      <c r="AG152" s="126">
        <v>0.3307692307692307</v>
      </c>
      <c r="AH152" s="126">
        <v>7.5409836065573721E-2</v>
      </c>
      <c r="AI152" s="126">
        <v>0.12837837837837829</v>
      </c>
      <c r="AJ152" s="126">
        <v>0.16271186440677976</v>
      </c>
      <c r="AK152" s="126">
        <v>-6.3583815028901758E-2</v>
      </c>
      <c r="AL152" s="116">
        <f t="shared" ref="AL152:BB152" si="192">SUM(AL65:AL66)/SUM(AH65:AH66)-1</f>
        <v>6.4245810055865826E-2</v>
      </c>
      <c r="AM152" s="116">
        <f t="shared" si="192"/>
        <v>0.1150684931506849</v>
      </c>
      <c r="AN152" s="116">
        <f t="shared" si="192"/>
        <v>0.1336898395721926</v>
      </c>
      <c r="AO152" s="116">
        <f t="shared" si="192"/>
        <v>0.22535211267605626</v>
      </c>
      <c r="AP152" s="116">
        <f t="shared" si="192"/>
        <v>0.1417322834645669</v>
      </c>
      <c r="AQ152" s="116">
        <f t="shared" si="192"/>
        <v>2.4570024570024662E-2</v>
      </c>
      <c r="AR152" s="116">
        <f t="shared" si="192"/>
        <v>-2.8301886792452824E-2</v>
      </c>
      <c r="AS152" s="116">
        <f t="shared" si="192"/>
        <v>-1.8390804597701149E-2</v>
      </c>
      <c r="AT152" s="116">
        <f t="shared" si="192"/>
        <v>6.8965517241379226E-2</v>
      </c>
      <c r="AU152" s="116">
        <f t="shared" si="192"/>
        <v>3.3573141486810565E-2</v>
      </c>
      <c r="AV152" s="116">
        <f t="shared" si="192"/>
        <v>4.6116504854369023E-2</v>
      </c>
      <c r="AW152" s="116">
        <f t="shared" si="192"/>
        <v>1.1709601873536313E-2</v>
      </c>
      <c r="AX152" s="116">
        <f t="shared" si="192"/>
        <v>0.30967741935483861</v>
      </c>
      <c r="AY152" s="116">
        <f t="shared" si="192"/>
        <v>3.9443155452436152E-2</v>
      </c>
      <c r="AZ152" s="116">
        <f t="shared" si="192"/>
        <v>1.8561484918793614E-2</v>
      </c>
      <c r="BA152" s="116">
        <f t="shared" si="192"/>
        <v>2.5462962962963021E-2</v>
      </c>
      <c r="BB152" s="116">
        <f t="shared" si="192"/>
        <v>-0.26108374384236455</v>
      </c>
    </row>
    <row r="153" spans="1:72" ht="14.55" customHeight="1" x14ac:dyDescent="0.3">
      <c r="C153" s="47"/>
      <c r="D153" s="47"/>
      <c r="E153" s="47"/>
      <c r="F153" s="47"/>
      <c r="G153" s="47"/>
      <c r="H153" s="47"/>
      <c r="I153" s="47"/>
      <c r="J153" s="47"/>
      <c r="K153" s="47"/>
      <c r="L153" s="47"/>
      <c r="M153" s="47"/>
      <c r="N153" s="47"/>
      <c r="O153" s="47"/>
      <c r="P153" s="47"/>
      <c r="Q153" s="47"/>
      <c r="R153" s="47"/>
      <c r="S153" s="47"/>
      <c r="T153" s="47"/>
      <c r="U153" s="47"/>
      <c r="V153" s="47"/>
      <c r="W153" s="47"/>
      <c r="X153" s="47"/>
      <c r="Y153" s="47"/>
      <c r="Z153" s="47"/>
      <c r="AA153" s="47"/>
      <c r="AB153" s="47"/>
      <c r="AC153" s="47"/>
      <c r="AD153" s="47"/>
      <c r="AE153" s="47"/>
      <c r="AF153" s="47"/>
      <c r="AG153" s="47"/>
      <c r="AH153" s="47"/>
      <c r="AI153" s="47"/>
      <c r="AJ153" s="47"/>
      <c r="AK153" s="47"/>
      <c r="AL153" s="47"/>
      <c r="AM153" s="47"/>
      <c r="AN153" s="47"/>
      <c r="AO153" s="47"/>
      <c r="AP153" s="47"/>
      <c r="AQ153" s="47"/>
      <c r="AR153" s="47"/>
      <c r="AS153" s="47"/>
      <c r="AT153" s="47"/>
      <c r="AU153" s="47"/>
      <c r="AV153" s="47"/>
      <c r="AW153" s="47"/>
      <c r="AX153" s="47"/>
      <c r="AY153" s="47"/>
      <c r="AZ153" s="47"/>
      <c r="BA153" s="47"/>
      <c r="BB153" s="47"/>
    </row>
    <row r="154" spans="1:72" ht="14.55" customHeight="1" x14ac:dyDescent="0.3">
      <c r="B154" s="38" t="s">
        <v>23</v>
      </c>
      <c r="C154" s="124">
        <f t="shared" ref="C154:AD154" si="193">SUM(C75)/C74</f>
        <v>-0.25305970708991116</v>
      </c>
      <c r="D154" s="124">
        <f t="shared" si="193"/>
        <v>-0.21781211712713783</v>
      </c>
      <c r="E154" s="124">
        <f t="shared" si="193"/>
        <v>-0.27398610643997828</v>
      </c>
      <c r="F154" s="124">
        <f t="shared" si="193"/>
        <v>-0.33842506187771837</v>
      </c>
      <c r="G154" s="124">
        <f t="shared" si="193"/>
        <v>-0.28231797919762258</v>
      </c>
      <c r="H154" s="124">
        <f t="shared" si="193"/>
        <v>-0.27521950433638542</v>
      </c>
      <c r="I154" s="124">
        <f t="shared" si="193"/>
        <v>-0.2512742730296777</v>
      </c>
      <c r="J154" s="124">
        <f t="shared" si="193"/>
        <v>-0.21221351175912517</v>
      </c>
      <c r="K154" s="124">
        <f t="shared" si="193"/>
        <v>-0.25961895925057688</v>
      </c>
      <c r="L154" s="124">
        <f t="shared" si="193"/>
        <v>-0.24694354727661905</v>
      </c>
      <c r="M154" s="124">
        <f t="shared" si="193"/>
        <v>-0.29449659488312163</v>
      </c>
      <c r="N154" s="124">
        <f t="shared" si="193"/>
        <v>-0.31869918699186994</v>
      </c>
      <c r="O154" s="124">
        <f t="shared" si="193"/>
        <v>-0.29428989751098095</v>
      </c>
      <c r="P154" s="124">
        <f t="shared" si="193"/>
        <v>-0.29453176632855377</v>
      </c>
      <c r="Q154" s="124">
        <f t="shared" si="193"/>
        <v>-0.25329428989751096</v>
      </c>
      <c r="R154" s="124">
        <f t="shared" si="193"/>
        <v>-0.30058651026392963</v>
      </c>
      <c r="S154" s="124">
        <f t="shared" si="193"/>
        <v>-0.29446064139941691</v>
      </c>
      <c r="T154" s="124">
        <f t="shared" si="193"/>
        <v>-0.25352112676056338</v>
      </c>
      <c r="U154" s="116">
        <f t="shared" si="193"/>
        <v>-0.25644699140401145</v>
      </c>
      <c r="V154" s="116">
        <f t="shared" si="193"/>
        <v>-0.25136612021857924</v>
      </c>
      <c r="W154" s="116">
        <f t="shared" si="193"/>
        <v>-0.25438596491228072</v>
      </c>
      <c r="X154" s="116">
        <f t="shared" si="193"/>
        <v>-0.26747720364741639</v>
      </c>
      <c r="Y154" s="116">
        <f t="shared" si="193"/>
        <v>-0.23777173913043478</v>
      </c>
      <c r="Z154" s="116">
        <f t="shared" si="193"/>
        <v>-0.2291350531107739</v>
      </c>
      <c r="AA154" s="116">
        <f t="shared" si="193"/>
        <v>-0.2455621301775148</v>
      </c>
      <c r="AB154" s="116">
        <f t="shared" si="193"/>
        <v>-0.24724409448818899</v>
      </c>
      <c r="AC154" s="116">
        <f t="shared" si="193"/>
        <v>-0.24269005847953215</v>
      </c>
      <c r="AD154" s="116">
        <f t="shared" si="193"/>
        <v>-0.27042253521126758</v>
      </c>
      <c r="AE154" s="126">
        <v>-0.24907063197026022</v>
      </c>
      <c r="AF154" s="126">
        <v>-0.26365348399246702</v>
      </c>
      <c r="AG154" s="126">
        <v>-0.25567010309278349</v>
      </c>
      <c r="AH154" s="126">
        <v>-0.24726477024070023</v>
      </c>
      <c r="AI154" s="126">
        <v>-0.24686192468619247</v>
      </c>
      <c r="AJ154" s="126">
        <v>-0.25055432372505543</v>
      </c>
      <c r="AK154" s="126">
        <v>-0.25865580448065173</v>
      </c>
      <c r="AL154" s="116">
        <f t="shared" ref="AL154:AZ154" si="194">SUM(AL75)/AL74</f>
        <v>-0.25986078886310904</v>
      </c>
      <c r="AM154" s="116">
        <f t="shared" si="194"/>
        <v>-0.26269315673289184</v>
      </c>
      <c r="AN154" s="116">
        <f t="shared" si="194"/>
        <v>-0.256198347107438</v>
      </c>
      <c r="AO154" s="116">
        <f t="shared" si="194"/>
        <v>-0.26303854875283444</v>
      </c>
      <c r="AP154" s="116">
        <f t="shared" si="194"/>
        <v>-0.24739583333333334</v>
      </c>
      <c r="AQ154" s="116">
        <f t="shared" si="194"/>
        <v>-0.32634032634032634</v>
      </c>
      <c r="AR154" s="116">
        <f t="shared" si="194"/>
        <v>-0.3534136546184739</v>
      </c>
      <c r="AS154" s="116">
        <f t="shared" si="194"/>
        <v>-0.34188034188034189</v>
      </c>
      <c r="AT154" s="116">
        <f t="shared" si="194"/>
        <v>-0.42997542997542998</v>
      </c>
      <c r="AU154" s="116">
        <f t="shared" si="194"/>
        <v>-0.25407925407925408</v>
      </c>
      <c r="AV154" s="116">
        <f t="shared" si="194"/>
        <v>-0.27373068432671083</v>
      </c>
      <c r="AW154" s="116">
        <f t="shared" si="194"/>
        <v>-0.25260416666666669</v>
      </c>
      <c r="AX154" s="116">
        <f t="shared" si="194"/>
        <v>-0.6853932584269663</v>
      </c>
      <c r="AY154" s="116">
        <f t="shared" si="194"/>
        <v>-0.26304801670146138</v>
      </c>
      <c r="AZ154" s="116">
        <f t="shared" si="194"/>
        <v>-0.26293995859213248</v>
      </c>
      <c r="BA154" s="116">
        <f t="shared" ref="BA154:BB154" si="195">SUM(BA75)/BA74</f>
        <v>-0.24845995893223818</v>
      </c>
      <c r="BB154" s="116">
        <f t="shared" si="195"/>
        <v>-0.25</v>
      </c>
    </row>
    <row r="155" spans="1:72" ht="14.55" customHeight="1" x14ac:dyDescent="0.3">
      <c r="C155" s="47"/>
      <c r="D155" s="47"/>
      <c r="E155" s="47"/>
      <c r="F155" s="47"/>
      <c r="G155" s="47"/>
      <c r="H155" s="47"/>
      <c r="I155" s="47"/>
      <c r="J155" s="47"/>
      <c r="K155" s="47"/>
      <c r="L155" s="47"/>
      <c r="M155" s="47"/>
      <c r="N155" s="47"/>
      <c r="O155" s="47"/>
      <c r="P155" s="47"/>
      <c r="Q155" s="47"/>
      <c r="R155" s="47"/>
      <c r="S155" s="47"/>
      <c r="T155" s="47"/>
      <c r="U155" s="47"/>
      <c r="V155" s="47"/>
      <c r="W155" s="47"/>
      <c r="X155" s="47"/>
      <c r="Y155" s="47"/>
      <c r="Z155" s="47"/>
      <c r="AA155" s="47"/>
      <c r="AB155" s="47"/>
      <c r="AC155" s="47"/>
      <c r="AD155" s="47"/>
      <c r="AE155" s="47"/>
      <c r="AF155" s="47"/>
      <c r="AG155" s="47"/>
      <c r="AH155" s="47"/>
      <c r="AI155" s="47"/>
      <c r="AJ155" s="47"/>
      <c r="AK155" s="47"/>
      <c r="AL155" s="47"/>
      <c r="AM155" s="47"/>
      <c r="AN155" s="47"/>
      <c r="AO155" s="47"/>
      <c r="AP155" s="47"/>
      <c r="AQ155" s="47"/>
      <c r="AR155" s="47"/>
      <c r="AS155" s="47"/>
      <c r="AT155" s="47"/>
      <c r="AU155" s="47"/>
      <c r="AV155" s="47"/>
      <c r="AW155" s="47"/>
      <c r="AX155" s="47"/>
      <c r="AY155" s="47"/>
      <c r="AZ155" s="47"/>
      <c r="BA155" s="47"/>
      <c r="BB155" s="47"/>
    </row>
    <row r="156" spans="1:72" ht="14.55" customHeight="1" x14ac:dyDescent="0.3">
      <c r="B156" s="38" t="s">
        <v>73</v>
      </c>
      <c r="C156" s="47"/>
      <c r="D156" s="47"/>
      <c r="E156" s="47"/>
      <c r="F156" s="47"/>
      <c r="G156" s="124">
        <f t="shared" ref="G156:AD156" si="196">G76/C76-1</f>
        <v>-0.15650499679105168</v>
      </c>
      <c r="H156" s="124">
        <f t="shared" si="196"/>
        <v>-8.3340054419574372E-2</v>
      </c>
      <c r="I156" s="124">
        <f t="shared" si="196"/>
        <v>0.14829598095907537</v>
      </c>
      <c r="J156" s="124">
        <f t="shared" si="196"/>
        <v>0.52816824670371565</v>
      </c>
      <c r="K156" s="124">
        <f t="shared" si="196"/>
        <v>-2.1656314699793899E-3</v>
      </c>
      <c r="L156" s="124">
        <f t="shared" si="196"/>
        <v>-9.186575289461385E-2</v>
      </c>
      <c r="M156" s="124">
        <f t="shared" si="196"/>
        <v>-0.20018779832546496</v>
      </c>
      <c r="N156" s="124">
        <f t="shared" si="196"/>
        <v>-0.17007352475122017</v>
      </c>
      <c r="O156" s="124">
        <f t="shared" si="196"/>
        <v>9.5444793486665347E-5</v>
      </c>
      <c r="P156" s="124">
        <f t="shared" si="196"/>
        <v>1.5392589962568426E-3</v>
      </c>
      <c r="Q156" s="124">
        <f t="shared" si="196"/>
        <v>0.10879206887555437</v>
      </c>
      <c r="R156" s="124">
        <f t="shared" si="196"/>
        <v>0.13842482100238662</v>
      </c>
      <c r="S156" s="124">
        <f t="shared" si="196"/>
        <v>1.0373443983402453E-2</v>
      </c>
      <c r="T156" s="124">
        <f t="shared" si="196"/>
        <v>-0.13649138527962201</v>
      </c>
      <c r="U156" s="116">
        <f t="shared" si="196"/>
        <v>1.5686274509803866E-2</v>
      </c>
      <c r="V156" s="239">
        <f t="shared" si="196"/>
        <v>0.14675052410901457</v>
      </c>
      <c r="W156" s="128">
        <f t="shared" si="196"/>
        <v>4.7227926078028837E-2</v>
      </c>
      <c r="X156" s="128">
        <f t="shared" si="196"/>
        <v>0.1367924528301887</v>
      </c>
      <c r="Y156" s="128">
        <f t="shared" si="196"/>
        <v>8.3011583011582957E-2</v>
      </c>
      <c r="Z156" s="128">
        <f t="shared" si="196"/>
        <v>-4.9360146252285242E-2</v>
      </c>
      <c r="AA156" s="128">
        <f t="shared" si="196"/>
        <v>0</v>
      </c>
      <c r="AB156" s="128">
        <f t="shared" si="196"/>
        <v>-8.2987551867219622E-3</v>
      </c>
      <c r="AC156" s="128">
        <f t="shared" si="196"/>
        <v>-7.6648841354723718E-2</v>
      </c>
      <c r="AD156" s="128">
        <f t="shared" si="196"/>
        <v>-0.50192307692307692</v>
      </c>
      <c r="AE156" s="127">
        <v>-0.207843137254902</v>
      </c>
      <c r="AF156" s="127">
        <v>-0.18200836820083677</v>
      </c>
      <c r="AG156" s="127">
        <v>-0.30308880308880304</v>
      </c>
      <c r="AH156" s="127">
        <v>0.3281853281853282</v>
      </c>
      <c r="AI156" s="127">
        <v>-0.1089108910891089</v>
      </c>
      <c r="AJ156" s="127">
        <v>-0.13554987212276215</v>
      </c>
      <c r="AK156" s="127">
        <v>8.310249307479145E-3</v>
      </c>
      <c r="AL156" s="128">
        <f t="shared" ref="AL156:BB156" si="197">AL76/AH76-1</f>
        <v>-6.7251461988304118E-2</v>
      </c>
      <c r="AM156" s="128">
        <f t="shared" si="197"/>
        <v>-6.9637883008356494E-2</v>
      </c>
      <c r="AN156" s="128">
        <f t="shared" si="197"/>
        <v>6.8249258160237414E-2</v>
      </c>
      <c r="AO156" s="128">
        <f t="shared" si="197"/>
        <v>-0.10468319559228645</v>
      </c>
      <c r="AP156" s="128">
        <f t="shared" si="197"/>
        <v>-9.404388714733547E-2</v>
      </c>
      <c r="AQ156" s="131">
        <f t="shared" si="197"/>
        <v>-0.1347305389221557</v>
      </c>
      <c r="AR156" s="128">
        <f t="shared" si="197"/>
        <v>-0.10555555555555551</v>
      </c>
      <c r="AS156" s="128">
        <f t="shared" si="197"/>
        <v>-5.2307692307692277E-2</v>
      </c>
      <c r="AT156" s="128">
        <f t="shared" si="197"/>
        <v>-0.19723183391003463</v>
      </c>
      <c r="AU156" s="128">
        <f t="shared" si="197"/>
        <v>0.10726643598615926</v>
      </c>
      <c r="AV156" s="128">
        <f t="shared" si="197"/>
        <v>2.1739130434782705E-2</v>
      </c>
      <c r="AW156" s="128">
        <f t="shared" si="197"/>
        <v>-6.8181818181818232E-2</v>
      </c>
      <c r="AX156" s="128">
        <f t="shared" si="197"/>
        <v>-0.75862068965517238</v>
      </c>
      <c r="AY156" s="128">
        <f t="shared" si="197"/>
        <v>0.10312499999999991</v>
      </c>
      <c r="AZ156" s="128">
        <f t="shared" si="197"/>
        <v>8.2066869300911893E-2</v>
      </c>
      <c r="BA156" s="128">
        <f t="shared" si="197"/>
        <v>0.27526132404181181</v>
      </c>
      <c r="BB156" s="128">
        <f t="shared" si="197"/>
        <v>4.7321428571428568</v>
      </c>
    </row>
    <row r="157" spans="1:72" ht="14.55" customHeight="1" x14ac:dyDescent="0.3">
      <c r="C157" s="47"/>
      <c r="D157" s="47"/>
      <c r="E157" s="47"/>
      <c r="F157" s="47"/>
      <c r="G157" s="47"/>
      <c r="H157" s="47"/>
      <c r="I157" s="47"/>
      <c r="J157" s="47"/>
      <c r="K157" s="47"/>
      <c r="L157" s="47"/>
      <c r="M157" s="47"/>
      <c r="N157" s="47"/>
      <c r="O157" s="47"/>
      <c r="P157" s="47"/>
      <c r="Q157" s="47"/>
      <c r="R157" s="47"/>
      <c r="S157" s="47"/>
      <c r="T157" s="47"/>
      <c r="U157" s="47"/>
      <c r="V157" s="47"/>
      <c r="W157" s="47"/>
      <c r="X157" s="47"/>
      <c r="Y157" s="47"/>
      <c r="Z157" s="47"/>
      <c r="AA157" s="47"/>
      <c r="AB157" s="47"/>
      <c r="AC157" s="47"/>
      <c r="AD157" s="47"/>
      <c r="AE157" s="47"/>
      <c r="AF157" s="47"/>
      <c r="AG157" s="47"/>
      <c r="AH157" s="47"/>
      <c r="AI157" s="47"/>
      <c r="AJ157" s="47"/>
      <c r="AK157" s="47"/>
      <c r="AL157" s="47"/>
      <c r="AM157" s="47"/>
      <c r="AN157" s="47"/>
      <c r="AO157" s="47"/>
      <c r="AP157" s="47"/>
      <c r="AQ157" s="47"/>
      <c r="AR157" s="47"/>
      <c r="AS157" s="47"/>
      <c r="AT157" s="47"/>
      <c r="AU157" s="47"/>
      <c r="AV157" s="47"/>
      <c r="AW157" s="47"/>
      <c r="AX157" s="47"/>
      <c r="AY157" s="47"/>
      <c r="AZ157" s="47"/>
      <c r="BA157" s="47"/>
      <c r="BB157" s="47"/>
    </row>
    <row r="158" spans="1:72" ht="14.55" customHeight="1" x14ac:dyDescent="0.3">
      <c r="B158" s="38" t="s">
        <v>72</v>
      </c>
      <c r="C158" s="47"/>
      <c r="D158" s="47"/>
      <c r="E158" s="47"/>
      <c r="F158" s="47"/>
      <c r="G158" s="47"/>
      <c r="H158" s="47"/>
      <c r="I158" s="47"/>
      <c r="J158" s="47"/>
      <c r="K158" s="124">
        <f t="shared" ref="K158:AD158" si="198">K85/K84</f>
        <v>1.2448132780082988</v>
      </c>
      <c r="L158" s="124">
        <f t="shared" si="198"/>
        <v>1.2239119230506517</v>
      </c>
      <c r="M158" s="124">
        <f t="shared" si="198"/>
        <v>1.304347826086957</v>
      </c>
      <c r="N158" s="124">
        <f t="shared" si="198"/>
        <v>3.5820895522388061</v>
      </c>
      <c r="O158" s="124">
        <f t="shared" si="198"/>
        <v>0.74110671936758898</v>
      </c>
      <c r="P158" s="124">
        <f t="shared" si="198"/>
        <v>0.73818897637795278</v>
      </c>
      <c r="Q158" s="124">
        <f t="shared" si="198"/>
        <v>0.69573283858998158</v>
      </c>
      <c r="R158" s="124">
        <f t="shared" si="198"/>
        <v>0.78288100208768274</v>
      </c>
      <c r="S158" s="124">
        <f t="shared" si="198"/>
        <v>0.79787234042553201</v>
      </c>
      <c r="T158" s="124">
        <f t="shared" si="198"/>
        <v>0.89073634204275542</v>
      </c>
      <c r="U158" s="124">
        <f t="shared" si="198"/>
        <v>0.72957198443579774</v>
      </c>
      <c r="V158" s="124">
        <f t="shared" si="198"/>
        <v>0.68933823529411764</v>
      </c>
      <c r="W158" s="124">
        <f t="shared" si="198"/>
        <v>0.73529411764705876</v>
      </c>
      <c r="X158" s="124">
        <f t="shared" si="198"/>
        <v>0.77800829875518673</v>
      </c>
      <c r="Y158" s="124">
        <f t="shared" si="198"/>
        <v>0.66844919786096257</v>
      </c>
      <c r="Z158" s="116">
        <f t="shared" si="198"/>
        <v>0.72115384615384626</v>
      </c>
      <c r="AA158" s="116">
        <f t="shared" si="198"/>
        <v>0.73529411764705876</v>
      </c>
      <c r="AB158" s="116">
        <f t="shared" si="198"/>
        <v>0.78451882845188281</v>
      </c>
      <c r="AC158" s="116">
        <f t="shared" si="198"/>
        <v>0.72393822393822405</v>
      </c>
      <c r="AD158" s="116">
        <f t="shared" si="198"/>
        <v>1.4478764478764481</v>
      </c>
      <c r="AE158" s="126">
        <v>0.9678217821782179</v>
      </c>
      <c r="AF158" s="126">
        <v>1</v>
      </c>
      <c r="AG158" s="126">
        <v>1.0831024930747923</v>
      </c>
      <c r="AH158" s="126">
        <v>1.1366279069767442</v>
      </c>
      <c r="AI158" s="126">
        <v>0.86888888888888893</v>
      </c>
      <c r="AJ158" s="126">
        <v>0.9254437869822485</v>
      </c>
      <c r="AK158" s="126">
        <v>0.8593406593406594</v>
      </c>
      <c r="AL158" s="116">
        <f t="shared" ref="AL158:BA158" si="199">AL85/AL84</f>
        <v>1.2257053291536051</v>
      </c>
      <c r="AM158" s="116">
        <f t="shared" si="199"/>
        <v>0.93652694610778453</v>
      </c>
      <c r="AN158" s="116">
        <f t="shared" si="199"/>
        <v>0.86888888888888893</v>
      </c>
      <c r="AO158" s="116">
        <f t="shared" si="199"/>
        <v>0.96246153846153848</v>
      </c>
      <c r="AP158" s="124">
        <f t="shared" si="199"/>
        <v>1.3529411764705883</v>
      </c>
      <c r="AQ158" s="124">
        <f t="shared" si="199"/>
        <v>1.3539792387543255</v>
      </c>
      <c r="AR158" s="116">
        <f t="shared" si="199"/>
        <v>1.2142857142857144</v>
      </c>
      <c r="AS158" s="116">
        <f t="shared" si="199"/>
        <v>1.2694805194805197</v>
      </c>
      <c r="AT158" s="116">
        <f t="shared" si="199"/>
        <v>1.6853448275862071</v>
      </c>
      <c r="AU158" s="116">
        <f t="shared" si="199"/>
        <v>0.97749999999999992</v>
      </c>
      <c r="AV158" s="116">
        <f t="shared" si="199"/>
        <v>0.95075987841945286</v>
      </c>
      <c r="AW158" s="116">
        <f t="shared" si="199"/>
        <v>1.0898954703832753</v>
      </c>
      <c r="AX158" s="116">
        <f t="shared" si="199"/>
        <v>5.5857142857142854</v>
      </c>
      <c r="AY158" s="116">
        <f t="shared" si="199"/>
        <v>0.8861189801699717</v>
      </c>
      <c r="AZ158" s="116">
        <f t="shared" si="199"/>
        <v>0.87865168539325844</v>
      </c>
      <c r="BA158" s="116">
        <f t="shared" si="199"/>
        <v>0.85464480874316939</v>
      </c>
      <c r="BB158" s="116">
        <f t="shared" ref="BB158" si="200">BB85/BB84</f>
        <v>1.2180685358255452</v>
      </c>
    </row>
    <row r="159" spans="1:72" ht="14.55" customHeight="1" x14ac:dyDescent="0.3">
      <c r="B159" s="38" t="s">
        <v>119</v>
      </c>
      <c r="C159" s="47"/>
      <c r="D159" s="47"/>
      <c r="E159" s="47"/>
      <c r="F159" s="47"/>
      <c r="G159" s="47"/>
      <c r="H159" s="122"/>
      <c r="I159" s="122"/>
      <c r="J159" s="122"/>
      <c r="K159" s="122"/>
      <c r="L159" s="122"/>
      <c r="M159" s="122"/>
      <c r="N159" s="122"/>
      <c r="O159" s="124">
        <f t="shared" ref="O159:AD159" si="201">O85/K85-1</f>
        <v>-0.375</v>
      </c>
      <c r="P159" s="124">
        <f t="shared" si="201"/>
        <v>-0.375</v>
      </c>
      <c r="Q159" s="124">
        <f t="shared" si="201"/>
        <v>-0.37500000000000022</v>
      </c>
      <c r="R159" s="124">
        <f t="shared" si="201"/>
        <v>-0.6875</v>
      </c>
      <c r="S159" s="124">
        <f t="shared" si="201"/>
        <v>0</v>
      </c>
      <c r="T159" s="124">
        <f t="shared" si="201"/>
        <v>0</v>
      </c>
      <c r="U159" s="124">
        <f t="shared" si="201"/>
        <v>0</v>
      </c>
      <c r="V159" s="124">
        <f t="shared" si="201"/>
        <v>0</v>
      </c>
      <c r="W159" s="124">
        <f t="shared" si="201"/>
        <v>0</v>
      </c>
      <c r="X159" s="124">
        <f t="shared" si="201"/>
        <v>0</v>
      </c>
      <c r="Y159" s="124">
        <f t="shared" si="201"/>
        <v>0</v>
      </c>
      <c r="Z159" s="116">
        <f t="shared" si="201"/>
        <v>0</v>
      </c>
      <c r="AA159" s="116">
        <f t="shared" si="201"/>
        <v>0</v>
      </c>
      <c r="AB159" s="116">
        <f t="shared" si="201"/>
        <v>0</v>
      </c>
      <c r="AC159" s="116">
        <f t="shared" si="201"/>
        <v>0</v>
      </c>
      <c r="AD159" s="116">
        <f t="shared" si="201"/>
        <v>0</v>
      </c>
      <c r="AE159" s="126">
        <v>0</v>
      </c>
      <c r="AF159" s="126">
        <v>0</v>
      </c>
      <c r="AG159" s="126">
        <v>0</v>
      </c>
      <c r="AH159" s="126">
        <v>0</v>
      </c>
      <c r="AI159" s="126">
        <v>-0.20000000000000007</v>
      </c>
      <c r="AJ159" s="126">
        <v>-0.20000000000000007</v>
      </c>
      <c r="AK159" s="126">
        <v>-0.20000000000000007</v>
      </c>
      <c r="AL159" s="116">
        <f t="shared" ref="AL159:BB159" si="202">AL85/AH85-1</f>
        <v>0</v>
      </c>
      <c r="AM159" s="116">
        <f t="shared" si="202"/>
        <v>0</v>
      </c>
      <c r="AN159" s="116">
        <f t="shared" si="202"/>
        <v>0</v>
      </c>
      <c r="AO159" s="116">
        <f t="shared" si="202"/>
        <v>0</v>
      </c>
      <c r="AP159" s="124">
        <f t="shared" si="202"/>
        <v>0</v>
      </c>
      <c r="AQ159" s="124">
        <f t="shared" si="202"/>
        <v>0.25</v>
      </c>
      <c r="AR159" s="116">
        <f t="shared" si="202"/>
        <v>0.25</v>
      </c>
      <c r="AS159" s="116">
        <f t="shared" si="202"/>
        <v>0.25</v>
      </c>
      <c r="AT159" s="116">
        <f t="shared" si="202"/>
        <v>0</v>
      </c>
      <c r="AU159" s="116">
        <f t="shared" si="202"/>
        <v>-0.20000000000000007</v>
      </c>
      <c r="AV159" s="116">
        <f t="shared" si="202"/>
        <v>-0.20000000000000007</v>
      </c>
      <c r="AW159" s="116">
        <f t="shared" si="202"/>
        <v>-0.20000000000000007</v>
      </c>
      <c r="AX159" s="116">
        <f t="shared" si="202"/>
        <v>-0.20000000000000007</v>
      </c>
      <c r="AY159" s="116">
        <f t="shared" si="202"/>
        <v>0</v>
      </c>
      <c r="AZ159" s="116">
        <f t="shared" si="202"/>
        <v>0</v>
      </c>
      <c r="BA159" s="116">
        <f t="shared" si="202"/>
        <v>0</v>
      </c>
      <c r="BB159" s="116">
        <f t="shared" si="202"/>
        <v>0.25</v>
      </c>
    </row>
    <row r="160" spans="1:72" ht="14.55" customHeight="1" x14ac:dyDescent="0.3">
      <c r="C160" s="47"/>
      <c r="D160" s="47"/>
      <c r="E160" s="47"/>
      <c r="F160" s="47"/>
      <c r="G160" s="47"/>
      <c r="H160" s="47"/>
      <c r="I160" s="47"/>
      <c r="J160" s="47"/>
      <c r="K160" s="47"/>
      <c r="L160" s="47"/>
      <c r="M160" s="47"/>
      <c r="N160" s="47"/>
      <c r="O160" s="47"/>
      <c r="P160" s="47"/>
      <c r="Q160" s="47"/>
      <c r="R160" s="47"/>
      <c r="S160" s="47"/>
      <c r="T160" s="47"/>
      <c r="U160" s="47"/>
      <c r="V160" s="47"/>
      <c r="W160" s="47"/>
      <c r="X160" s="47"/>
      <c r="Y160" s="47"/>
      <c r="Z160" s="47"/>
      <c r="AA160" s="47"/>
      <c r="AB160" s="47"/>
      <c r="AC160" s="47"/>
      <c r="AD160" s="47"/>
      <c r="AE160" s="115"/>
      <c r="AF160" s="115"/>
      <c r="AG160" s="115"/>
      <c r="AH160" s="115"/>
      <c r="AI160" s="115"/>
      <c r="AJ160" s="115"/>
      <c r="AK160" s="115"/>
      <c r="AL160" s="115"/>
      <c r="AM160" s="115"/>
      <c r="AN160" s="115"/>
      <c r="AO160" s="115"/>
      <c r="AP160" s="115"/>
      <c r="AQ160" s="115"/>
      <c r="AR160" s="115"/>
      <c r="AS160" s="115"/>
      <c r="AT160" s="115"/>
      <c r="AU160" s="115"/>
      <c r="AV160" s="115"/>
      <c r="AW160" s="115"/>
      <c r="AX160" s="115"/>
      <c r="AY160" s="115"/>
      <c r="AZ160" s="115"/>
      <c r="BA160" s="115"/>
      <c r="BB160" s="115"/>
    </row>
    <row r="161" spans="2:54" ht="14.55" customHeight="1" x14ac:dyDescent="0.3">
      <c r="C161" s="47"/>
      <c r="D161" s="47"/>
      <c r="E161" s="47"/>
      <c r="F161" s="47"/>
      <c r="G161" s="47"/>
      <c r="H161" s="47"/>
      <c r="I161" s="47"/>
      <c r="J161" s="47"/>
      <c r="K161" s="47"/>
      <c r="L161" s="47"/>
      <c r="M161" s="47"/>
      <c r="N161" s="47"/>
      <c r="O161" s="47"/>
      <c r="P161" s="47"/>
      <c r="Q161" s="47"/>
      <c r="R161" s="47"/>
      <c r="S161" s="47"/>
      <c r="T161" s="47"/>
      <c r="U161" s="47"/>
      <c r="V161" s="47"/>
      <c r="W161" s="47"/>
      <c r="X161" s="47"/>
      <c r="Y161" s="47"/>
      <c r="Z161" s="47"/>
      <c r="AA161" s="47"/>
      <c r="AB161" s="47"/>
      <c r="AC161" s="47"/>
      <c r="AD161" s="47"/>
      <c r="AE161" s="115"/>
      <c r="AF161" s="115"/>
      <c r="AG161" s="115"/>
      <c r="AH161" s="115"/>
      <c r="AI161" s="115"/>
      <c r="AJ161" s="115"/>
      <c r="AK161" s="115"/>
      <c r="AL161" s="115"/>
      <c r="AM161" s="115"/>
      <c r="AN161" s="115"/>
      <c r="AO161" s="115"/>
      <c r="AP161" s="115"/>
      <c r="AQ161" s="115"/>
      <c r="AR161" s="115"/>
      <c r="AS161" s="115"/>
      <c r="AT161" s="115"/>
      <c r="AU161" s="115"/>
      <c r="AV161" s="115"/>
      <c r="AW161" s="115"/>
      <c r="AX161" s="115"/>
      <c r="AY161" s="115"/>
      <c r="AZ161" s="115"/>
      <c r="BA161" s="115"/>
      <c r="BB161" s="115"/>
    </row>
    <row r="162" spans="2:54" ht="14.55" customHeight="1" x14ac:dyDescent="0.3">
      <c r="C162" s="47"/>
      <c r="D162" s="47"/>
      <c r="E162" s="47"/>
      <c r="F162" s="47"/>
      <c r="G162" s="47"/>
      <c r="H162" s="47"/>
      <c r="I162" s="47"/>
      <c r="J162" s="47"/>
      <c r="K162" s="47"/>
      <c r="L162" s="47"/>
      <c r="M162" s="47"/>
      <c r="N162" s="47"/>
      <c r="O162" s="47"/>
      <c r="P162" s="47"/>
      <c r="Q162" s="47"/>
      <c r="R162" s="47"/>
      <c r="S162" s="47"/>
      <c r="T162" s="47"/>
      <c r="U162" s="47"/>
      <c r="V162" s="47"/>
      <c r="W162" s="47"/>
      <c r="X162" s="47"/>
      <c r="Y162" s="47"/>
      <c r="Z162" s="47"/>
      <c r="AA162" s="47"/>
      <c r="AB162" s="47"/>
      <c r="AC162" s="47"/>
      <c r="AD162" s="47"/>
      <c r="AE162" s="115"/>
      <c r="AF162" s="115"/>
      <c r="AG162" s="115"/>
      <c r="AH162" s="115"/>
      <c r="AI162" s="115"/>
      <c r="AJ162" s="115"/>
      <c r="AK162" s="115"/>
      <c r="AL162" s="115"/>
      <c r="AM162" s="115"/>
      <c r="AN162" s="115"/>
      <c r="AO162" s="115"/>
      <c r="AP162" s="115"/>
      <c r="AQ162" s="115"/>
      <c r="AR162" s="115"/>
      <c r="AS162" s="115"/>
      <c r="AT162" s="115"/>
      <c r="AU162" s="115"/>
      <c r="AV162" s="115"/>
      <c r="AW162" s="115"/>
      <c r="AX162" s="115"/>
      <c r="AY162" s="115"/>
      <c r="AZ162" s="115"/>
      <c r="BA162" s="115"/>
      <c r="BB162" s="115"/>
    </row>
    <row r="163" spans="2:54" ht="14.55" customHeight="1" x14ac:dyDescent="0.3">
      <c r="C163" s="47"/>
      <c r="D163" s="47"/>
      <c r="E163" s="47"/>
      <c r="F163" s="47"/>
      <c r="G163" s="47"/>
      <c r="H163" s="47"/>
      <c r="I163" s="47"/>
      <c r="J163" s="47"/>
      <c r="K163" s="47"/>
      <c r="L163" s="47"/>
      <c r="M163" s="47"/>
      <c r="N163" s="47"/>
      <c r="O163" s="47"/>
      <c r="P163" s="47"/>
      <c r="Q163" s="47"/>
      <c r="R163" s="47"/>
      <c r="S163" s="47"/>
      <c r="T163" s="47"/>
      <c r="U163" s="47"/>
      <c r="V163" s="47"/>
      <c r="W163" s="47"/>
      <c r="X163" s="47"/>
      <c r="Y163" s="47"/>
      <c r="Z163" s="47"/>
      <c r="AA163" s="47"/>
      <c r="AB163" s="47"/>
      <c r="AC163" s="47"/>
      <c r="AD163" s="47"/>
      <c r="AE163" s="115"/>
      <c r="AF163" s="115"/>
      <c r="AG163" s="115"/>
      <c r="AH163" s="115"/>
      <c r="AI163" s="115"/>
      <c r="AJ163" s="115"/>
      <c r="AK163" s="115"/>
      <c r="AL163" s="115"/>
      <c r="AM163" s="115"/>
      <c r="AN163" s="115"/>
      <c r="AO163" s="115"/>
      <c r="AP163" s="115"/>
      <c r="AQ163" s="115"/>
      <c r="AR163" s="115"/>
      <c r="AS163" s="115"/>
      <c r="AT163" s="115"/>
      <c r="AU163" s="115"/>
      <c r="AV163" s="115"/>
      <c r="AW163" s="115"/>
      <c r="AX163" s="115"/>
      <c r="AY163" s="115"/>
      <c r="AZ163" s="115"/>
      <c r="BA163" s="115"/>
      <c r="BB163" s="115"/>
    </row>
    <row r="164" spans="2:54" ht="14.55" customHeight="1" x14ac:dyDescent="0.3">
      <c r="C164" s="47"/>
      <c r="D164" s="47"/>
      <c r="E164" s="47"/>
      <c r="F164" s="47"/>
      <c r="G164" s="47"/>
      <c r="H164" s="47"/>
      <c r="I164" s="47"/>
      <c r="J164" s="47"/>
      <c r="K164" s="47"/>
      <c r="L164" s="47"/>
      <c r="M164" s="47"/>
      <c r="N164" s="47"/>
      <c r="O164" s="47"/>
      <c r="P164" s="47"/>
      <c r="Q164" s="47"/>
      <c r="R164" s="47"/>
      <c r="S164" s="47"/>
      <c r="T164" s="47"/>
      <c r="U164" s="47"/>
      <c r="V164" s="47"/>
      <c r="W164" s="47"/>
      <c r="X164" s="47"/>
      <c r="Y164" s="47"/>
      <c r="Z164" s="47"/>
      <c r="AA164" s="47"/>
      <c r="AB164" s="47"/>
      <c r="AC164" s="47"/>
      <c r="AD164" s="47"/>
      <c r="AE164" s="115"/>
      <c r="AF164" s="115"/>
      <c r="AG164" s="115"/>
      <c r="AH164" s="115"/>
      <c r="AI164" s="115"/>
      <c r="AJ164" s="115"/>
      <c r="AK164" s="115"/>
      <c r="AL164" s="115"/>
      <c r="AM164" s="115"/>
      <c r="AN164" s="115"/>
      <c r="AO164" s="115"/>
      <c r="AP164" s="115"/>
      <c r="AQ164" s="115"/>
      <c r="AR164" s="115"/>
      <c r="AS164" s="115"/>
      <c r="AT164" s="115"/>
      <c r="AU164" s="115"/>
      <c r="AV164" s="115"/>
      <c r="AW164" s="115"/>
      <c r="AX164" s="115"/>
      <c r="AY164" s="115"/>
      <c r="AZ164" s="115"/>
      <c r="BA164" s="115"/>
      <c r="BB164" s="115"/>
    </row>
    <row r="165" spans="2:54" ht="14.55" customHeight="1" x14ac:dyDescent="0.3">
      <c r="C165" s="47"/>
      <c r="D165" s="47"/>
      <c r="E165" s="47"/>
      <c r="F165" s="47"/>
      <c r="G165" s="47"/>
      <c r="H165" s="47"/>
      <c r="I165" s="47"/>
      <c r="J165" s="47"/>
      <c r="K165" s="47"/>
      <c r="L165" s="47"/>
      <c r="M165" s="47"/>
      <c r="N165" s="47"/>
      <c r="O165" s="47"/>
      <c r="P165" s="47"/>
      <c r="Q165" s="47"/>
      <c r="R165" s="47"/>
      <c r="S165" s="47"/>
      <c r="T165" s="47"/>
      <c r="U165" s="47"/>
      <c r="V165" s="47"/>
      <c r="W165" s="47"/>
      <c r="X165" s="47"/>
      <c r="Y165" s="47"/>
      <c r="Z165" s="47"/>
      <c r="AA165" s="47"/>
      <c r="AB165" s="47"/>
      <c r="AC165" s="47"/>
      <c r="AD165" s="47"/>
      <c r="AE165" s="115"/>
      <c r="AF165" s="115"/>
      <c r="AG165" s="115"/>
      <c r="AH165" s="115"/>
      <c r="AI165" s="115"/>
      <c r="AJ165" s="115"/>
      <c r="AK165" s="115"/>
      <c r="AL165" s="115"/>
      <c r="AM165" s="115"/>
      <c r="AN165" s="115"/>
      <c r="AO165" s="115"/>
      <c r="AP165" s="115"/>
      <c r="AQ165" s="115"/>
      <c r="AR165" s="115"/>
      <c r="AS165" s="115"/>
      <c r="AT165" s="115"/>
      <c r="AU165" s="115"/>
      <c r="AV165" s="115"/>
      <c r="AW165" s="115"/>
      <c r="AX165" s="115"/>
      <c r="AY165" s="115"/>
      <c r="AZ165" s="115"/>
      <c r="BA165" s="115"/>
      <c r="BB165" s="115"/>
    </row>
    <row r="166" spans="2:54" ht="14.55" customHeight="1" x14ac:dyDescent="0.3">
      <c r="C166" s="47"/>
      <c r="D166" s="47"/>
      <c r="E166" s="47"/>
      <c r="F166" s="47"/>
      <c r="G166" s="47"/>
      <c r="H166" s="47"/>
      <c r="I166" s="47"/>
      <c r="J166" s="47"/>
      <c r="K166" s="47"/>
      <c r="L166" s="47"/>
      <c r="M166" s="47"/>
      <c r="N166" s="47"/>
      <c r="O166" s="47"/>
      <c r="P166" s="47"/>
      <c r="Q166" s="47"/>
      <c r="R166" s="47"/>
      <c r="S166" s="47"/>
      <c r="T166" s="47"/>
      <c r="U166" s="47"/>
      <c r="V166" s="47"/>
      <c r="W166" s="47"/>
      <c r="X166" s="47"/>
      <c r="Y166" s="47"/>
      <c r="Z166" s="47"/>
      <c r="AA166" s="47"/>
      <c r="AB166" s="47"/>
      <c r="AC166" s="47"/>
      <c r="AD166" s="47"/>
      <c r="AE166" s="115"/>
      <c r="AF166" s="115"/>
      <c r="AG166" s="115"/>
      <c r="AH166" s="115"/>
      <c r="AI166" s="115"/>
      <c r="AJ166" s="115"/>
      <c r="AK166" s="115"/>
      <c r="AL166" s="115"/>
      <c r="AM166" s="115"/>
      <c r="AN166" s="115"/>
      <c r="AO166" s="115"/>
      <c r="AP166" s="115"/>
      <c r="AQ166" s="115"/>
      <c r="AR166" s="115"/>
      <c r="AS166" s="115"/>
      <c r="AT166" s="115"/>
      <c r="AU166" s="115"/>
      <c r="AV166" s="115"/>
      <c r="AW166" s="115"/>
      <c r="AX166" s="115"/>
      <c r="AY166" s="115"/>
      <c r="AZ166" s="115"/>
      <c r="BA166" s="115"/>
      <c r="BB166" s="115"/>
    </row>
    <row r="167" spans="2:54" ht="14.55" customHeight="1" x14ac:dyDescent="0.3">
      <c r="C167" s="47"/>
      <c r="D167" s="47"/>
      <c r="E167" s="47"/>
      <c r="F167" s="47"/>
      <c r="G167" s="47"/>
      <c r="H167" s="47"/>
      <c r="I167" s="47"/>
      <c r="J167" s="47"/>
      <c r="K167" s="47"/>
      <c r="L167" s="47"/>
      <c r="M167" s="47"/>
      <c r="N167" s="47"/>
      <c r="O167" s="47"/>
      <c r="P167" s="47"/>
      <c r="Q167" s="47"/>
      <c r="R167" s="47"/>
      <c r="S167" s="47"/>
      <c r="T167" s="47"/>
      <c r="U167" s="47"/>
      <c r="V167" s="47"/>
      <c r="W167" s="47"/>
      <c r="X167" s="47"/>
      <c r="Y167" s="47"/>
      <c r="Z167" s="47"/>
      <c r="AA167" s="47"/>
      <c r="AB167" s="47"/>
      <c r="AC167" s="47"/>
      <c r="AD167" s="115"/>
      <c r="AE167" s="115"/>
      <c r="AF167" s="115"/>
      <c r="AG167" s="115"/>
      <c r="AH167" s="115"/>
      <c r="AI167" s="115"/>
      <c r="AJ167" s="115"/>
      <c r="AK167" s="115"/>
      <c r="AL167" s="115"/>
      <c r="AM167" s="115"/>
      <c r="AN167" s="115"/>
      <c r="AO167" s="115"/>
      <c r="AP167" s="115"/>
      <c r="AQ167" s="115"/>
      <c r="AR167" s="115"/>
      <c r="AS167" s="115"/>
      <c r="AT167" s="115"/>
      <c r="AU167" s="115"/>
      <c r="AV167" s="115"/>
      <c r="AW167" s="115"/>
      <c r="AX167" s="115"/>
      <c r="AY167" s="115"/>
      <c r="AZ167" s="115"/>
      <c r="BA167" s="115"/>
      <c r="BB167" s="115"/>
    </row>
    <row r="168" spans="2:54" ht="14.55" customHeight="1" x14ac:dyDescent="0.3">
      <c r="C168" s="47"/>
      <c r="D168" s="47"/>
      <c r="E168" s="47"/>
      <c r="F168" s="47"/>
      <c r="G168" s="47"/>
      <c r="H168" s="47"/>
      <c r="I168" s="47"/>
      <c r="J168" s="47"/>
      <c r="K168" s="47"/>
      <c r="L168" s="47"/>
      <c r="M168" s="47"/>
      <c r="N168" s="47"/>
      <c r="O168" s="47"/>
      <c r="P168" s="47"/>
      <c r="Q168" s="47"/>
      <c r="R168" s="47"/>
      <c r="S168" s="47"/>
      <c r="T168" s="47"/>
      <c r="U168" s="47"/>
      <c r="V168" s="47"/>
      <c r="W168" s="47"/>
      <c r="X168" s="47"/>
      <c r="Y168" s="47"/>
      <c r="Z168" s="47"/>
      <c r="AA168" s="47"/>
      <c r="AB168" s="47"/>
      <c r="AC168" s="47"/>
      <c r="AD168" s="115"/>
      <c r="AE168" s="115"/>
      <c r="AF168" s="115"/>
      <c r="AG168" s="115"/>
      <c r="AH168" s="115"/>
      <c r="AI168" s="115"/>
      <c r="AJ168" s="115"/>
      <c r="AK168" s="115"/>
      <c r="AL168" s="115"/>
      <c r="AM168" s="115"/>
      <c r="AN168" s="115"/>
      <c r="AO168" s="115"/>
      <c r="AP168" s="115"/>
      <c r="AQ168" s="115"/>
      <c r="AR168" s="115"/>
      <c r="AS168" s="115"/>
      <c r="AT168" s="115"/>
      <c r="AU168" s="115"/>
      <c r="AV168" s="115"/>
      <c r="AW168" s="115"/>
      <c r="AX168" s="115"/>
      <c r="AY168" s="115"/>
      <c r="AZ168" s="115"/>
      <c r="BA168" s="115"/>
      <c r="BB168" s="115"/>
    </row>
    <row r="169" spans="2:54" ht="14.55" customHeight="1" x14ac:dyDescent="0.3">
      <c r="B169" s="38" t="s">
        <v>341</v>
      </c>
      <c r="C169" s="47"/>
      <c r="D169" s="47"/>
      <c r="E169" s="47"/>
      <c r="F169" s="47"/>
      <c r="G169" s="47"/>
      <c r="H169" s="47"/>
      <c r="I169" s="47"/>
      <c r="J169" s="47"/>
      <c r="K169" s="47"/>
      <c r="L169" s="47"/>
      <c r="M169" s="47"/>
      <c r="N169" s="47"/>
      <c r="O169" s="47"/>
      <c r="P169" s="47"/>
      <c r="Q169" s="47"/>
      <c r="R169" s="47"/>
      <c r="S169" s="118">
        <f t="shared" ref="S169:BA169" si="203">S10+S12+S13</f>
        <v>2122</v>
      </c>
      <c r="T169" s="118">
        <f t="shared" si="203"/>
        <v>2055</v>
      </c>
      <c r="U169" s="118">
        <f t="shared" si="203"/>
        <v>2113</v>
      </c>
      <c r="V169" s="118">
        <f t="shared" si="203"/>
        <v>2165</v>
      </c>
      <c r="W169" s="118">
        <f t="shared" si="203"/>
        <v>2076</v>
      </c>
      <c r="X169" s="118">
        <f t="shared" si="203"/>
        <v>2069</v>
      </c>
      <c r="Y169" s="118">
        <f t="shared" si="203"/>
        <v>2090</v>
      </c>
      <c r="Z169" s="118">
        <f t="shared" si="203"/>
        <v>2036</v>
      </c>
      <c r="AA169" s="118">
        <f t="shared" si="203"/>
        <v>1980</v>
      </c>
      <c r="AB169" s="118">
        <f t="shared" si="203"/>
        <v>2013</v>
      </c>
      <c r="AC169" s="118">
        <f t="shared" si="203"/>
        <v>2027</v>
      </c>
      <c r="AD169" s="118">
        <f t="shared" si="203"/>
        <v>2048</v>
      </c>
      <c r="AE169" s="118">
        <f t="shared" si="203"/>
        <v>1947</v>
      </c>
      <c r="AF169" s="118">
        <f t="shared" si="203"/>
        <v>1918</v>
      </c>
      <c r="AG169" s="118">
        <f t="shared" si="203"/>
        <v>1940</v>
      </c>
      <c r="AH169" s="118">
        <f t="shared" si="203"/>
        <v>1992</v>
      </c>
      <c r="AI169" s="118">
        <f t="shared" si="203"/>
        <v>1940</v>
      </c>
      <c r="AJ169" s="118">
        <f t="shared" si="203"/>
        <v>1900</v>
      </c>
      <c r="AK169" s="118">
        <f t="shared" si="203"/>
        <v>1940</v>
      </c>
      <c r="AL169" s="118">
        <f t="shared" si="203"/>
        <v>1945</v>
      </c>
      <c r="AM169" s="118">
        <f t="shared" si="203"/>
        <v>1935</v>
      </c>
      <c r="AN169" s="118">
        <f t="shared" si="203"/>
        <v>1964</v>
      </c>
      <c r="AO169" s="118">
        <f t="shared" si="203"/>
        <v>2001</v>
      </c>
      <c r="AP169" s="118">
        <f t="shared" si="203"/>
        <v>1984</v>
      </c>
      <c r="AQ169" s="118">
        <f t="shared" si="203"/>
        <v>2005</v>
      </c>
      <c r="AR169" s="118">
        <f t="shared" si="203"/>
        <v>2060</v>
      </c>
      <c r="AS169" s="118">
        <f t="shared" si="203"/>
        <v>2083</v>
      </c>
      <c r="AT169" s="118">
        <f t="shared" si="203"/>
        <v>2087</v>
      </c>
      <c r="AU169" s="118">
        <f t="shared" si="203"/>
        <v>2086</v>
      </c>
      <c r="AV169" s="118">
        <f t="shared" si="203"/>
        <v>2090</v>
      </c>
      <c r="AW169" s="118">
        <f t="shared" si="203"/>
        <v>2117</v>
      </c>
      <c r="AX169" s="118">
        <f t="shared" si="203"/>
        <v>1841</v>
      </c>
      <c r="AY169" s="118">
        <f t="shared" si="203"/>
        <v>1839</v>
      </c>
      <c r="AZ169" s="118">
        <f t="shared" si="203"/>
        <v>1849</v>
      </c>
      <c r="BA169" s="118">
        <f t="shared" si="203"/>
        <v>1853</v>
      </c>
      <c r="BB169" s="118">
        <f t="shared" ref="BB169" si="204">BB10+BB12+BB13</f>
        <v>1867</v>
      </c>
    </row>
    <row r="170" spans="2:54" ht="14.55" customHeight="1" x14ac:dyDescent="0.3">
      <c r="B170" s="37" t="s">
        <v>343</v>
      </c>
      <c r="C170" s="119"/>
      <c r="D170" s="119"/>
      <c r="E170" s="119"/>
      <c r="F170" s="119"/>
      <c r="G170" s="119"/>
      <c r="H170" s="119"/>
      <c r="I170" s="119"/>
      <c r="J170" s="119"/>
      <c r="K170" s="119"/>
      <c r="L170" s="119"/>
      <c r="M170" s="119"/>
      <c r="N170" s="119"/>
      <c r="O170" s="119"/>
      <c r="P170" s="119"/>
      <c r="Q170" s="119"/>
      <c r="R170" s="119"/>
      <c r="S170" s="119"/>
      <c r="T170" s="119"/>
      <c r="U170" s="119"/>
      <c r="V170" s="119"/>
      <c r="W170" s="132">
        <f t="shared" ref="W170:AG170" si="205">W169/S169-1</f>
        <v>-2.1677662582469392E-2</v>
      </c>
      <c r="X170" s="132">
        <f t="shared" si="205"/>
        <v>6.8126520681264235E-3</v>
      </c>
      <c r="Y170" s="132">
        <f t="shared" si="205"/>
        <v>-1.0884997633696214E-2</v>
      </c>
      <c r="Z170" s="132">
        <f t="shared" si="205"/>
        <v>-5.9584295612009286E-2</v>
      </c>
      <c r="AA170" s="132">
        <f t="shared" si="205"/>
        <v>-4.6242774566473965E-2</v>
      </c>
      <c r="AB170" s="132">
        <f t="shared" si="205"/>
        <v>-2.7066215563073981E-2</v>
      </c>
      <c r="AC170" s="132">
        <f t="shared" si="205"/>
        <v>-3.0143540669856472E-2</v>
      </c>
      <c r="AD170" s="132">
        <f t="shared" si="205"/>
        <v>5.893909626718985E-3</v>
      </c>
      <c r="AE170" s="132">
        <f t="shared" si="205"/>
        <v>-1.6666666666666718E-2</v>
      </c>
      <c r="AF170" s="132">
        <f t="shared" si="205"/>
        <v>-4.7193243914555372E-2</v>
      </c>
      <c r="AG170" s="132">
        <f t="shared" si="205"/>
        <v>-4.292057227429702E-2</v>
      </c>
      <c r="AH170" s="132">
        <f t="shared" ref="AH170:AL170" si="206">AH169/AD169-1</f>
        <v>-2.734375E-2</v>
      </c>
      <c r="AI170" s="132">
        <f t="shared" si="206"/>
        <v>-3.5952747817155073E-3</v>
      </c>
      <c r="AJ170" s="132">
        <f t="shared" si="206"/>
        <v>-9.3847758081334609E-3</v>
      </c>
      <c r="AK170" s="132">
        <f t="shared" si="206"/>
        <v>0</v>
      </c>
      <c r="AL170" s="132">
        <f t="shared" si="206"/>
        <v>-2.3594377510040121E-2</v>
      </c>
      <c r="AM170" s="132">
        <f t="shared" ref="AM170:BB170" si="207">AM169/AI169-1</f>
        <v>-2.5773195876288568E-3</v>
      </c>
      <c r="AN170" s="132">
        <f t="shared" si="207"/>
        <v>3.3684210526315761E-2</v>
      </c>
      <c r="AO170" s="132">
        <f t="shared" si="207"/>
        <v>3.1443298969072275E-2</v>
      </c>
      <c r="AP170" s="132">
        <f t="shared" si="207"/>
        <v>2.0051413881748026E-2</v>
      </c>
      <c r="AQ170" s="132">
        <f t="shared" si="207"/>
        <v>3.6175710594315236E-2</v>
      </c>
      <c r="AR170" s="132">
        <f t="shared" si="207"/>
        <v>4.8879837067209886E-2</v>
      </c>
      <c r="AS170" s="132">
        <f t="shared" si="207"/>
        <v>4.0979510244877559E-2</v>
      </c>
      <c r="AT170" s="132">
        <f t="shared" si="207"/>
        <v>5.191532258064524E-2</v>
      </c>
      <c r="AU170" s="132">
        <f t="shared" si="207"/>
        <v>4.039900249376549E-2</v>
      </c>
      <c r="AV170" s="132">
        <f t="shared" si="207"/>
        <v>1.4563106796116498E-2</v>
      </c>
      <c r="AW170" s="132">
        <f t="shared" si="207"/>
        <v>1.6322611617858751E-2</v>
      </c>
      <c r="AX170" s="132">
        <f t="shared" si="207"/>
        <v>-0.11787254432199334</v>
      </c>
      <c r="AY170" s="132">
        <f t="shared" si="207"/>
        <v>-0.11840843720038352</v>
      </c>
      <c r="AZ170" s="132">
        <f t="shared" si="207"/>
        <v>-0.11531100478468903</v>
      </c>
      <c r="BA170" s="132">
        <f t="shared" si="207"/>
        <v>-0.1247047709022201</v>
      </c>
      <c r="BB170" s="132">
        <f t="shared" si="207"/>
        <v>1.4122759369907589E-2</v>
      </c>
    </row>
    <row r="171" spans="2:54" ht="14.55" customHeight="1" x14ac:dyDescent="0.3">
      <c r="C171" s="47"/>
      <c r="D171" s="47"/>
      <c r="E171" s="47"/>
      <c r="F171" s="47"/>
      <c r="G171" s="47"/>
      <c r="H171" s="47"/>
      <c r="I171" s="47"/>
      <c r="J171" s="47"/>
      <c r="K171" s="47"/>
      <c r="L171" s="47"/>
      <c r="M171" s="47"/>
      <c r="N171" s="47"/>
      <c r="O171" s="47"/>
      <c r="P171" s="47"/>
      <c r="Q171" s="47"/>
      <c r="R171" s="47"/>
      <c r="S171" s="47"/>
      <c r="T171" s="47"/>
      <c r="U171" s="47"/>
      <c r="V171" s="47"/>
      <c r="W171" s="47"/>
      <c r="X171" s="47"/>
      <c r="Y171" s="47"/>
      <c r="Z171" s="47"/>
      <c r="AA171" s="47"/>
      <c r="AB171" s="47"/>
      <c r="AC171" s="115"/>
      <c r="AD171" s="115"/>
      <c r="AE171" s="115"/>
      <c r="AF171" s="115"/>
      <c r="AG171" s="115"/>
      <c r="AH171" s="115"/>
      <c r="AI171" s="115"/>
      <c r="AJ171" s="115"/>
      <c r="AK171" s="115"/>
      <c r="AL171" s="115"/>
      <c r="AM171" s="115"/>
      <c r="AN171" s="115"/>
      <c r="AO171" s="115"/>
      <c r="AP171" s="115"/>
      <c r="AQ171" s="115"/>
      <c r="AR171" s="115"/>
      <c r="AS171" s="115"/>
      <c r="AT171" s="115"/>
      <c r="AU171" s="115"/>
      <c r="AV171" s="115"/>
      <c r="AW171" s="115"/>
      <c r="AX171" s="115"/>
      <c r="AY171" s="115"/>
      <c r="AZ171" s="115"/>
      <c r="BA171" s="115"/>
      <c r="BB171" s="115"/>
    </row>
    <row r="172" spans="2:54" ht="14.55" customHeight="1" x14ac:dyDescent="0.3">
      <c r="B172" s="38" t="s">
        <v>342</v>
      </c>
      <c r="C172" s="47"/>
      <c r="D172" s="47"/>
      <c r="E172" s="47"/>
      <c r="F172" s="47"/>
      <c r="G172" s="47"/>
      <c r="H172" s="47"/>
      <c r="I172" s="47"/>
      <c r="J172" s="47"/>
      <c r="K172" s="47"/>
      <c r="L172" s="47"/>
      <c r="M172" s="47"/>
      <c r="N172" s="47"/>
      <c r="O172" s="47"/>
      <c r="P172" s="47"/>
      <c r="Q172" s="47"/>
      <c r="R172" s="47"/>
      <c r="S172" s="118"/>
      <c r="T172" s="118"/>
      <c r="U172" s="118"/>
      <c r="V172" s="118"/>
      <c r="W172" s="118"/>
      <c r="X172" s="118"/>
      <c r="Y172" s="118"/>
      <c r="Z172" s="118"/>
      <c r="AA172" s="133">
        <v>1860</v>
      </c>
      <c r="AB172" s="133">
        <v>1901</v>
      </c>
      <c r="AC172" s="133">
        <v>1916</v>
      </c>
      <c r="AD172" s="133">
        <v>1930</v>
      </c>
      <c r="AE172" s="133">
        <v>1876</v>
      </c>
      <c r="AF172" s="133">
        <v>1887</v>
      </c>
      <c r="AG172" s="133">
        <v>1920</v>
      </c>
      <c r="AH172" s="133">
        <v>1978</v>
      </c>
      <c r="AI172" s="133">
        <v>1928</v>
      </c>
      <c r="AJ172" s="133">
        <v>1887</v>
      </c>
      <c r="AK172" s="133">
        <v>1930</v>
      </c>
      <c r="AL172" s="133">
        <v>1937</v>
      </c>
      <c r="AM172" s="133"/>
      <c r="AN172" s="133"/>
      <c r="AO172" s="133"/>
      <c r="AP172" s="133"/>
      <c r="AQ172" s="133"/>
      <c r="AR172" s="133"/>
      <c r="AS172" s="133"/>
      <c r="AT172" s="133"/>
      <c r="AU172" s="133"/>
      <c r="AV172" s="133"/>
      <c r="AW172" s="133"/>
      <c r="AX172" s="133"/>
      <c r="AY172" s="133"/>
      <c r="AZ172" s="133"/>
      <c r="BA172" s="133"/>
      <c r="BB172" s="133"/>
    </row>
    <row r="173" spans="2:54" ht="14.55" customHeight="1" x14ac:dyDescent="0.3">
      <c r="B173" s="38" t="s">
        <v>343</v>
      </c>
      <c r="C173" s="47"/>
      <c r="D173" s="47"/>
      <c r="E173" s="47"/>
      <c r="F173" s="47"/>
      <c r="G173" s="47"/>
      <c r="H173" s="47"/>
      <c r="I173" s="47"/>
      <c r="J173" s="47"/>
      <c r="K173" s="47"/>
      <c r="L173" s="47"/>
      <c r="M173" s="47"/>
      <c r="N173" s="47"/>
      <c r="O173" s="47"/>
      <c r="P173" s="47"/>
      <c r="Q173" s="47"/>
      <c r="R173" s="47"/>
      <c r="S173" s="47"/>
      <c r="T173" s="47"/>
      <c r="U173" s="47"/>
      <c r="V173" s="47"/>
      <c r="W173" s="47"/>
      <c r="X173" s="47"/>
      <c r="Y173" s="47"/>
      <c r="Z173" s="47"/>
      <c r="AA173" s="47"/>
      <c r="AB173" s="47"/>
      <c r="AC173" s="115"/>
      <c r="AD173" s="134"/>
      <c r="AE173" s="134">
        <f t="shared" ref="AE173" si="208">AE172/AA172-1</f>
        <v>8.6021505376343566E-3</v>
      </c>
      <c r="AF173" s="134">
        <f t="shared" ref="AF173" si="209">AF172/AB172-1</f>
        <v>-7.3645449763282134E-3</v>
      </c>
      <c r="AG173" s="134">
        <f t="shared" ref="AG173" si="210">AG172/AC172-1</f>
        <v>2.0876826722338038E-3</v>
      </c>
      <c r="AH173" s="134">
        <f t="shared" ref="AH173:AL173" si="211">AH172/AD172-1</f>
        <v>2.4870466321243567E-2</v>
      </c>
      <c r="AI173" s="134">
        <f t="shared" si="211"/>
        <v>2.771855010660973E-2</v>
      </c>
      <c r="AJ173" s="134">
        <f t="shared" si="211"/>
        <v>0</v>
      </c>
      <c r="AK173" s="134">
        <f t="shared" si="211"/>
        <v>5.2083333333332593E-3</v>
      </c>
      <c r="AL173" s="134">
        <f t="shared" si="211"/>
        <v>-2.0728008088978789E-2</v>
      </c>
      <c r="AM173" s="134">
        <f t="shared" ref="AM173:BB173" si="212">AM172/AI172-1</f>
        <v>-1</v>
      </c>
      <c r="AN173" s="134">
        <f t="shared" si="212"/>
        <v>-1</v>
      </c>
      <c r="AO173" s="134">
        <f t="shared" si="212"/>
        <v>-1</v>
      </c>
      <c r="AP173" s="134">
        <f t="shared" si="212"/>
        <v>-1</v>
      </c>
      <c r="AQ173" s="134" t="e">
        <f t="shared" si="212"/>
        <v>#DIV/0!</v>
      </c>
      <c r="AR173" s="134" t="e">
        <f t="shared" si="212"/>
        <v>#DIV/0!</v>
      </c>
      <c r="AS173" s="134" t="e">
        <f t="shared" si="212"/>
        <v>#DIV/0!</v>
      </c>
      <c r="AT173" s="134" t="e">
        <f t="shared" si="212"/>
        <v>#DIV/0!</v>
      </c>
      <c r="AU173" s="134" t="e">
        <f t="shared" si="212"/>
        <v>#DIV/0!</v>
      </c>
      <c r="AV173" s="134" t="e">
        <f t="shared" si="212"/>
        <v>#DIV/0!</v>
      </c>
      <c r="AW173" s="134" t="e">
        <f t="shared" si="212"/>
        <v>#DIV/0!</v>
      </c>
      <c r="AX173" s="134" t="e">
        <f t="shared" si="212"/>
        <v>#DIV/0!</v>
      </c>
      <c r="AY173" s="134" t="e">
        <f t="shared" si="212"/>
        <v>#DIV/0!</v>
      </c>
      <c r="AZ173" s="134" t="e">
        <f t="shared" si="212"/>
        <v>#DIV/0!</v>
      </c>
      <c r="BA173" s="134" t="e">
        <f t="shared" si="212"/>
        <v>#DIV/0!</v>
      </c>
      <c r="BB173" s="134" t="e">
        <f t="shared" si="212"/>
        <v>#DIV/0!</v>
      </c>
    </row>
    <row r="174" spans="2:54" ht="14.55" customHeight="1" x14ac:dyDescent="0.3">
      <c r="C174" s="47"/>
      <c r="D174" s="47"/>
      <c r="E174" s="47"/>
      <c r="F174" s="47"/>
      <c r="G174" s="47"/>
      <c r="H174" s="47"/>
      <c r="I174" s="47"/>
      <c r="J174" s="47"/>
      <c r="K174" s="47"/>
      <c r="L174" s="47"/>
      <c r="M174" s="47"/>
      <c r="N174" s="47"/>
      <c r="O174" s="47"/>
      <c r="P174" s="47"/>
      <c r="Q174" s="47"/>
      <c r="R174" s="47"/>
      <c r="S174" s="47"/>
      <c r="T174" s="47"/>
      <c r="U174" s="47"/>
      <c r="V174" s="47"/>
      <c r="W174" s="47"/>
      <c r="X174" s="47"/>
      <c r="Y174" s="47"/>
      <c r="Z174" s="47"/>
      <c r="AA174" s="47"/>
      <c r="AB174" s="47"/>
      <c r="AC174" s="115"/>
      <c r="AD174" s="115"/>
      <c r="AE174" s="115"/>
      <c r="AF174" s="115"/>
      <c r="AG174" s="115"/>
      <c r="AH174" s="115"/>
      <c r="AI174" s="115"/>
      <c r="AJ174" s="115"/>
      <c r="AK174" s="115"/>
      <c r="AL174" s="115"/>
      <c r="AM174" s="115"/>
      <c r="AN174" s="115"/>
      <c r="AO174" s="115"/>
      <c r="AP174" s="115"/>
      <c r="AQ174" s="115"/>
      <c r="AR174" s="115"/>
      <c r="AS174" s="115"/>
      <c r="AT174" s="115"/>
      <c r="AU174" s="115"/>
      <c r="AV174" s="115"/>
      <c r="AW174" s="115"/>
      <c r="AX174" s="115"/>
      <c r="AY174" s="115"/>
      <c r="AZ174" s="115"/>
      <c r="BA174" s="115"/>
      <c r="BB174" s="115"/>
    </row>
    <row r="175" spans="2:54" ht="14.55" customHeight="1" x14ac:dyDescent="0.3">
      <c r="C175" s="47"/>
      <c r="D175" s="47"/>
      <c r="E175" s="47"/>
      <c r="F175" s="47"/>
      <c r="G175" s="47"/>
      <c r="H175" s="47"/>
      <c r="I175" s="47"/>
      <c r="J175" s="47"/>
      <c r="K175" s="47"/>
      <c r="L175" s="47"/>
      <c r="M175" s="47"/>
      <c r="N175" s="47"/>
      <c r="O175" s="47"/>
      <c r="P175" s="47"/>
      <c r="Q175" s="47"/>
      <c r="R175" s="47"/>
      <c r="S175" s="47"/>
      <c r="T175" s="47"/>
      <c r="U175" s="47"/>
      <c r="V175" s="47"/>
      <c r="W175" s="47"/>
      <c r="X175" s="47"/>
      <c r="Y175" s="47"/>
      <c r="Z175" s="47"/>
      <c r="AA175" s="118">
        <f t="shared" ref="AA175:AG175" si="213">AA169-AA172</f>
        <v>120</v>
      </c>
      <c r="AB175" s="118">
        <f t="shared" si="213"/>
        <v>112</v>
      </c>
      <c r="AC175" s="118">
        <f t="shared" si="213"/>
        <v>111</v>
      </c>
      <c r="AD175" s="118">
        <f t="shared" si="213"/>
        <v>118</v>
      </c>
      <c r="AE175" s="118">
        <f t="shared" si="213"/>
        <v>71</v>
      </c>
      <c r="AF175" s="118">
        <f t="shared" si="213"/>
        <v>31</v>
      </c>
      <c r="AG175" s="118">
        <f t="shared" si="213"/>
        <v>20</v>
      </c>
      <c r="AH175" s="118">
        <f t="shared" ref="AH175:AM175" si="214">AH169-AH172</f>
        <v>14</v>
      </c>
      <c r="AI175" s="118">
        <f t="shared" si="214"/>
        <v>12</v>
      </c>
      <c r="AJ175" s="118">
        <f t="shared" si="214"/>
        <v>13</v>
      </c>
      <c r="AK175" s="118">
        <f t="shared" si="214"/>
        <v>10</v>
      </c>
      <c r="AL175" s="118">
        <f t="shared" si="214"/>
        <v>8</v>
      </c>
      <c r="AM175" s="118">
        <f t="shared" si="214"/>
        <v>1935</v>
      </c>
      <c r="AN175" s="118">
        <f t="shared" ref="AN175:AO175" si="215">AN169-AN172</f>
        <v>1964</v>
      </c>
      <c r="AO175" s="118">
        <f t="shared" si="215"/>
        <v>2001</v>
      </c>
      <c r="AP175" s="118">
        <f t="shared" ref="AP175:AS175" si="216">AP169-AP172</f>
        <v>1984</v>
      </c>
      <c r="AQ175" s="118">
        <f t="shared" si="216"/>
        <v>2005</v>
      </c>
      <c r="AR175" s="118">
        <f t="shared" si="216"/>
        <v>2060</v>
      </c>
      <c r="AS175" s="118">
        <f t="shared" si="216"/>
        <v>2083</v>
      </c>
      <c r="AT175" s="118">
        <f t="shared" ref="AT175:AV175" si="217">AT169-AT172</f>
        <v>2087</v>
      </c>
      <c r="AU175" s="118">
        <f t="shared" si="217"/>
        <v>2086</v>
      </c>
      <c r="AV175" s="118">
        <f t="shared" si="217"/>
        <v>2090</v>
      </c>
      <c r="AW175" s="118">
        <f t="shared" ref="AW175:AX175" si="218">AW169-AW172</f>
        <v>2117</v>
      </c>
      <c r="AX175" s="118">
        <f t="shared" si="218"/>
        <v>1841</v>
      </c>
      <c r="AY175" s="118">
        <f t="shared" ref="AY175:AZ175" si="219">AY169-AY172</f>
        <v>1839</v>
      </c>
      <c r="AZ175" s="118">
        <f t="shared" si="219"/>
        <v>1849</v>
      </c>
      <c r="BA175" s="118">
        <f t="shared" ref="BA175:BB175" si="220">BA169-BA172</f>
        <v>1853</v>
      </c>
      <c r="BB175" s="118">
        <f t="shared" si="220"/>
        <v>1867</v>
      </c>
    </row>
    <row r="176" spans="2:54" ht="14.55" customHeight="1" x14ac:dyDescent="0.3">
      <c r="C176" s="47"/>
      <c r="D176" s="47"/>
      <c r="E176" s="47"/>
      <c r="F176" s="47"/>
      <c r="G176" s="47"/>
      <c r="H176" s="47"/>
      <c r="I176" s="47"/>
      <c r="J176" s="47"/>
      <c r="K176" s="47"/>
      <c r="L176" s="47"/>
      <c r="M176" s="47"/>
      <c r="N176" s="47"/>
      <c r="O176" s="47"/>
      <c r="P176" s="47"/>
      <c r="Q176" s="47"/>
      <c r="R176" s="47"/>
      <c r="S176" s="47"/>
      <c r="T176" s="47"/>
      <c r="U176" s="47"/>
      <c r="V176" s="47"/>
      <c r="W176" s="47"/>
      <c r="X176" s="47"/>
      <c r="Y176" s="47"/>
      <c r="Z176" s="47"/>
      <c r="AA176" s="47"/>
      <c r="AB176" s="47"/>
      <c r="AC176" s="115"/>
      <c r="AD176" s="115"/>
      <c r="AE176" s="134">
        <f t="shared" ref="AE176" si="221">AE175/AA175-1</f>
        <v>-0.40833333333333333</v>
      </c>
      <c r="AF176" s="134">
        <f t="shared" ref="AF176" si="222">AF175/AB175-1</f>
        <v>-0.7232142857142857</v>
      </c>
      <c r="AG176" s="134">
        <f t="shared" ref="AG176" si="223">AG175/AC175-1</f>
        <v>-0.81981981981981988</v>
      </c>
      <c r="AH176" s="134">
        <f t="shared" ref="AH176:AL176" si="224">AH175/AD175-1</f>
        <v>-0.88135593220338981</v>
      </c>
      <c r="AI176" s="134">
        <f t="shared" si="224"/>
        <v>-0.83098591549295775</v>
      </c>
      <c r="AJ176" s="134">
        <f t="shared" si="224"/>
        <v>-0.58064516129032251</v>
      </c>
      <c r="AK176" s="134">
        <f t="shared" si="224"/>
        <v>-0.5</v>
      </c>
      <c r="AL176" s="134">
        <f t="shared" si="224"/>
        <v>-0.4285714285714286</v>
      </c>
      <c r="AM176" s="134">
        <f t="shared" ref="AM176:BB176" si="225">AM175/AI175-1</f>
        <v>160.25</v>
      </c>
      <c r="AN176" s="134">
        <f t="shared" si="225"/>
        <v>150.07692307692307</v>
      </c>
      <c r="AO176" s="134">
        <f t="shared" si="225"/>
        <v>199.1</v>
      </c>
      <c r="AP176" s="134">
        <f t="shared" si="225"/>
        <v>247</v>
      </c>
      <c r="AQ176" s="134">
        <f t="shared" si="225"/>
        <v>3.6175710594315236E-2</v>
      </c>
      <c r="AR176" s="134">
        <f t="shared" si="225"/>
        <v>4.8879837067209886E-2</v>
      </c>
      <c r="AS176" s="134">
        <f t="shared" si="225"/>
        <v>4.0979510244877559E-2</v>
      </c>
      <c r="AT176" s="134">
        <f t="shared" si="225"/>
        <v>5.191532258064524E-2</v>
      </c>
      <c r="AU176" s="134">
        <f t="shared" si="225"/>
        <v>4.039900249376549E-2</v>
      </c>
      <c r="AV176" s="134">
        <f t="shared" si="225"/>
        <v>1.4563106796116498E-2</v>
      </c>
      <c r="AW176" s="134">
        <f t="shared" si="225"/>
        <v>1.6322611617858751E-2</v>
      </c>
      <c r="AX176" s="134">
        <f t="shared" si="225"/>
        <v>-0.11787254432199334</v>
      </c>
      <c r="AY176" s="134">
        <f t="shared" si="225"/>
        <v>-0.11840843720038352</v>
      </c>
      <c r="AZ176" s="134">
        <f t="shared" si="225"/>
        <v>-0.11531100478468903</v>
      </c>
      <c r="BA176" s="134">
        <f t="shared" si="225"/>
        <v>-0.1247047709022201</v>
      </c>
      <c r="BB176" s="134">
        <f t="shared" si="225"/>
        <v>1.4122759369907589E-2</v>
      </c>
    </row>
    <row r="177" spans="2:56" ht="14.55" customHeight="1" x14ac:dyDescent="0.3">
      <c r="C177" s="47"/>
      <c r="D177" s="47"/>
      <c r="E177" s="47"/>
      <c r="F177" s="47"/>
      <c r="G177" s="47"/>
      <c r="H177" s="47"/>
      <c r="I177" s="47"/>
      <c r="J177" s="47"/>
      <c r="K177" s="47"/>
      <c r="L177" s="47"/>
      <c r="M177" s="47"/>
      <c r="N177" s="47"/>
      <c r="O177" s="47"/>
      <c r="P177" s="47"/>
      <c r="Q177" s="47"/>
      <c r="R177" s="47"/>
      <c r="S177" s="47"/>
      <c r="T177" s="47"/>
      <c r="U177" s="47"/>
      <c r="V177" s="47"/>
      <c r="W177" s="47"/>
      <c r="X177" s="47"/>
      <c r="Y177" s="47"/>
      <c r="Z177" s="47"/>
      <c r="AA177" s="47"/>
      <c r="AB177" s="47"/>
      <c r="AC177" s="115"/>
      <c r="AD177" s="115"/>
      <c r="AE177" s="115"/>
      <c r="AF177" s="115"/>
      <c r="AG177" s="115"/>
      <c r="AH177" s="115"/>
      <c r="AI177" s="115"/>
      <c r="AJ177" s="115"/>
      <c r="AK177" s="115"/>
      <c r="AL177" s="115"/>
      <c r="AM177" s="115"/>
      <c r="AN177" s="115"/>
      <c r="AO177" s="115"/>
      <c r="AP177" s="115"/>
      <c r="AQ177" s="115"/>
      <c r="AR177" s="115"/>
      <c r="AS177" s="115"/>
      <c r="AT177" s="115"/>
      <c r="AU177" s="115"/>
      <c r="AV177" s="115"/>
      <c r="AW177" s="115"/>
      <c r="AX177" s="115"/>
      <c r="AY177" s="115"/>
      <c r="AZ177" s="115"/>
      <c r="BA177" s="115"/>
      <c r="BB177" s="115"/>
    </row>
    <row r="178" spans="2:56" ht="14.55" customHeight="1" x14ac:dyDescent="0.3">
      <c r="C178" s="47"/>
      <c r="D178" s="47"/>
      <c r="E178" s="47"/>
      <c r="F178" s="47"/>
      <c r="G178" s="47"/>
      <c r="H178" s="47"/>
      <c r="I178" s="47"/>
      <c r="J178" s="47"/>
      <c r="K178" s="47"/>
      <c r="L178" s="47"/>
      <c r="M178" s="47"/>
      <c r="N178" s="47"/>
      <c r="O178" s="47"/>
      <c r="P178" s="47"/>
      <c r="Q178" s="47"/>
      <c r="R178" s="47"/>
      <c r="S178" s="47"/>
      <c r="T178" s="47"/>
      <c r="U178" s="47"/>
      <c r="V178" s="47"/>
      <c r="W178" s="47"/>
      <c r="X178" s="47"/>
      <c r="Y178" s="47"/>
      <c r="Z178" s="47"/>
      <c r="AA178" s="47"/>
      <c r="AB178" s="47"/>
      <c r="AC178" s="115"/>
      <c r="AD178" s="115"/>
      <c r="AE178" s="115"/>
      <c r="AF178" s="115"/>
      <c r="AG178" s="115"/>
      <c r="AH178" s="115"/>
      <c r="AI178" s="115"/>
      <c r="AJ178" s="115"/>
      <c r="AK178" s="115"/>
      <c r="AL178" s="115"/>
      <c r="AM178" s="115"/>
      <c r="AN178" s="115"/>
      <c r="AO178" s="115"/>
      <c r="AP178" s="115"/>
      <c r="AQ178" s="115"/>
      <c r="AR178" s="115"/>
      <c r="AS178" s="115"/>
      <c r="AT178" s="115"/>
      <c r="AU178" s="115"/>
      <c r="AV178" s="115"/>
      <c r="AW178" s="115"/>
      <c r="AX178" s="115"/>
      <c r="AY178" s="115"/>
      <c r="AZ178" s="115"/>
      <c r="BA178" s="115"/>
      <c r="BB178" s="115"/>
    </row>
    <row r="179" spans="2:56" ht="14.55" customHeight="1" x14ac:dyDescent="0.3">
      <c r="C179" s="47"/>
      <c r="D179" s="47"/>
      <c r="E179" s="47"/>
      <c r="F179" s="47"/>
      <c r="G179" s="47"/>
      <c r="H179" s="47"/>
      <c r="I179" s="47"/>
      <c r="J179" s="47"/>
      <c r="K179" s="47"/>
      <c r="L179" s="47"/>
      <c r="M179" s="47"/>
      <c r="N179" s="47"/>
      <c r="O179" s="47"/>
      <c r="P179" s="47"/>
      <c r="Q179" s="47"/>
      <c r="R179" s="47"/>
      <c r="S179" s="47"/>
      <c r="T179" s="47"/>
      <c r="U179" s="47"/>
      <c r="V179" s="47"/>
      <c r="W179" s="47"/>
      <c r="X179" s="47"/>
      <c r="Y179" s="47"/>
      <c r="Z179" s="47"/>
      <c r="AA179" s="47"/>
      <c r="AB179" s="47"/>
      <c r="AC179" s="115"/>
      <c r="AD179" s="115"/>
      <c r="AE179" s="115"/>
      <c r="AF179" s="115"/>
      <c r="AG179" s="115"/>
      <c r="AH179" s="115"/>
      <c r="AI179" s="115"/>
      <c r="AJ179" s="118"/>
      <c r="AK179" s="118"/>
      <c r="AL179" s="118"/>
      <c r="AM179" s="118"/>
      <c r="AN179" s="118"/>
      <c r="AO179" s="118"/>
      <c r="AP179" s="118"/>
      <c r="AQ179" s="118"/>
      <c r="AR179" s="118"/>
      <c r="AS179" s="118"/>
      <c r="AT179" s="118"/>
      <c r="AU179" s="118"/>
      <c r="AV179" s="118"/>
      <c r="AW179" s="118"/>
      <c r="AX179" s="118"/>
      <c r="AY179" s="118"/>
      <c r="AZ179" s="118"/>
      <c r="BA179" s="118"/>
      <c r="BB179" s="118"/>
    </row>
    <row r="180" spans="2:56" ht="14.55" customHeight="1" x14ac:dyDescent="0.3">
      <c r="C180" s="47"/>
      <c r="D180" s="47"/>
      <c r="E180" s="47"/>
      <c r="F180" s="47"/>
      <c r="G180" s="47"/>
      <c r="H180" s="47"/>
      <c r="I180" s="47"/>
      <c r="J180" s="47"/>
      <c r="K180" s="47"/>
      <c r="L180" s="47"/>
      <c r="M180" s="47"/>
      <c r="N180" s="47"/>
      <c r="O180" s="47"/>
      <c r="P180" s="47"/>
      <c r="Q180" s="47"/>
      <c r="R180" s="47"/>
      <c r="S180" s="47"/>
      <c r="T180" s="47"/>
      <c r="U180" s="47"/>
      <c r="V180" s="47"/>
      <c r="W180" s="47"/>
      <c r="X180" s="47"/>
      <c r="Y180" s="47"/>
      <c r="Z180" s="47"/>
      <c r="AA180" s="47"/>
      <c r="AB180" s="47"/>
      <c r="AC180" s="115"/>
      <c r="AD180" s="115"/>
      <c r="AE180" s="115"/>
      <c r="AF180" s="115"/>
      <c r="AG180" s="115"/>
      <c r="AH180" s="115"/>
      <c r="AI180" s="115"/>
      <c r="AJ180" s="118"/>
      <c r="AK180" s="118"/>
      <c r="AL180" s="118"/>
      <c r="AM180" s="118"/>
      <c r="AN180" s="118"/>
      <c r="AO180" s="118"/>
      <c r="AP180" s="118"/>
      <c r="AQ180" s="118"/>
      <c r="AR180" s="118"/>
      <c r="AS180" s="118"/>
      <c r="AT180" s="118"/>
      <c r="AU180" s="118"/>
      <c r="AV180" s="118"/>
      <c r="AW180" s="118"/>
      <c r="AX180" s="118"/>
      <c r="AY180" s="118"/>
      <c r="AZ180" s="118"/>
      <c r="BA180" s="118"/>
      <c r="BB180" s="118"/>
    </row>
    <row r="181" spans="2:56" ht="14.55" customHeight="1" x14ac:dyDescent="0.3">
      <c r="C181" s="47"/>
      <c r="D181" s="47"/>
      <c r="E181" s="47"/>
      <c r="F181" s="47"/>
      <c r="G181" s="47"/>
      <c r="H181" s="47"/>
      <c r="I181" s="47"/>
      <c r="J181" s="47"/>
      <c r="K181" s="47"/>
      <c r="L181" s="47"/>
      <c r="M181" s="47"/>
      <c r="N181" s="47"/>
      <c r="O181" s="47"/>
      <c r="P181" s="47"/>
      <c r="Q181" s="47"/>
      <c r="R181" s="47"/>
      <c r="S181" s="47"/>
      <c r="T181" s="47"/>
      <c r="U181" s="47"/>
      <c r="V181" s="47"/>
      <c r="W181" s="47"/>
      <c r="X181" s="47"/>
      <c r="Y181" s="47"/>
      <c r="Z181" s="47"/>
      <c r="AA181" s="47"/>
      <c r="AB181" s="47"/>
      <c r="AC181" s="115"/>
      <c r="AD181" s="115"/>
      <c r="AE181" s="115"/>
      <c r="AF181" s="115"/>
      <c r="AG181" s="115"/>
      <c r="AH181" s="115"/>
      <c r="AI181" s="115"/>
      <c r="AJ181" s="115"/>
      <c r="AK181" s="115"/>
      <c r="AL181" s="115"/>
      <c r="AM181" s="115"/>
      <c r="AN181" s="115"/>
      <c r="AO181" s="115"/>
      <c r="AP181" s="115"/>
      <c r="AQ181" s="115"/>
      <c r="AR181" s="115"/>
      <c r="AS181" s="115"/>
      <c r="AT181" s="115"/>
      <c r="AU181" s="115"/>
      <c r="AV181" s="115"/>
      <c r="AW181" s="115"/>
      <c r="AX181" s="115"/>
      <c r="AY181" s="115"/>
      <c r="AZ181" s="115"/>
      <c r="BA181" s="115"/>
      <c r="BB181" s="115"/>
    </row>
    <row r="182" spans="2:56" ht="14.55" customHeight="1" x14ac:dyDescent="0.3">
      <c r="C182" s="47"/>
      <c r="D182" s="47"/>
      <c r="E182" s="47"/>
      <c r="F182" s="47"/>
      <c r="G182" s="47"/>
      <c r="H182" s="47"/>
      <c r="I182" s="47"/>
      <c r="J182" s="47"/>
      <c r="K182" s="47"/>
      <c r="L182" s="47"/>
      <c r="M182" s="47"/>
      <c r="N182" s="47"/>
      <c r="O182" s="47"/>
      <c r="P182" s="47"/>
      <c r="Q182" s="47"/>
      <c r="R182" s="47"/>
      <c r="S182" s="47"/>
      <c r="T182" s="47"/>
      <c r="U182" s="47"/>
      <c r="V182" s="47"/>
      <c r="W182" s="47"/>
      <c r="X182" s="47"/>
      <c r="Y182" s="47"/>
      <c r="Z182" s="47"/>
      <c r="AA182" s="47"/>
      <c r="AB182" s="47"/>
      <c r="AC182" s="115"/>
      <c r="AD182" s="115"/>
      <c r="AE182" s="115"/>
      <c r="AF182" s="115"/>
      <c r="AG182" s="115"/>
      <c r="AH182" s="115"/>
      <c r="AI182" s="115"/>
      <c r="AJ182" s="115"/>
      <c r="AK182" s="115"/>
      <c r="AL182" s="115"/>
      <c r="AM182" s="115"/>
      <c r="AN182" s="115"/>
      <c r="AO182" s="115"/>
      <c r="AP182" s="115"/>
      <c r="AQ182" s="115"/>
      <c r="AR182" s="115"/>
      <c r="AS182" s="115"/>
      <c r="AT182" s="115"/>
      <c r="AU182" s="115"/>
      <c r="AV182" s="115"/>
      <c r="AW182" s="115"/>
      <c r="AX182" s="115"/>
      <c r="AY182" s="115"/>
      <c r="AZ182" s="115"/>
      <c r="BA182" s="115"/>
      <c r="BB182" s="115"/>
    </row>
    <row r="183" spans="2:56" ht="14.55" customHeight="1" x14ac:dyDescent="0.3">
      <c r="B183" s="42" t="s">
        <v>345</v>
      </c>
      <c r="C183" s="47"/>
      <c r="D183" s="47"/>
      <c r="E183" s="47"/>
      <c r="F183" s="47"/>
      <c r="G183" s="47"/>
      <c r="H183" s="47"/>
      <c r="I183" s="47"/>
      <c r="J183" s="47"/>
      <c r="K183" s="47"/>
      <c r="L183" s="47"/>
      <c r="M183" s="47"/>
      <c r="N183" s="47"/>
      <c r="O183" s="47"/>
      <c r="P183" s="47"/>
      <c r="Q183" s="47"/>
      <c r="R183" s="47"/>
      <c r="S183" s="47"/>
      <c r="T183" s="47"/>
      <c r="U183" s="47"/>
      <c r="V183" s="47"/>
      <c r="W183" s="47"/>
      <c r="X183" s="47"/>
      <c r="Y183" s="47"/>
      <c r="Z183" s="47"/>
      <c r="AA183" s="47"/>
      <c r="AB183" s="47"/>
      <c r="AC183" s="115"/>
      <c r="AD183" s="135">
        <f t="shared" ref="AD183:AG184" si="226">AD12/Z12-1</f>
        <v>1.449275362318847E-2</v>
      </c>
      <c r="AE183" s="135">
        <f t="shared" si="226"/>
        <v>-1.4084507042253502E-2</v>
      </c>
      <c r="AF183" s="135">
        <f t="shared" si="226"/>
        <v>-2.8169014084507005E-2</v>
      </c>
      <c r="AG183" s="135">
        <f t="shared" si="226"/>
        <v>1.4084507042253502E-2</v>
      </c>
      <c r="AH183" s="135">
        <f>AG12*1.095/AD12-1</f>
        <v>0.12628571428571433</v>
      </c>
      <c r="AI183" s="135">
        <f t="shared" ref="AI183:AR184" si="227">AI12/AE12-1</f>
        <v>0.84285714285714275</v>
      </c>
      <c r="AJ183" s="135">
        <f t="shared" si="227"/>
        <v>0.84057971014492749</v>
      </c>
      <c r="AK183" s="135">
        <f t="shared" si="227"/>
        <v>1.0416666666666665</v>
      </c>
      <c r="AL183" s="135">
        <f t="shared" si="227"/>
        <v>0.3362068965517242</v>
      </c>
      <c r="AM183" s="135">
        <f t="shared" si="227"/>
        <v>5.4263565891472965E-2</v>
      </c>
      <c r="AN183" s="135">
        <f t="shared" si="227"/>
        <v>6.2992125984252079E-2</v>
      </c>
      <c r="AO183" s="135">
        <f t="shared" si="227"/>
        <v>-6.8027210884353706E-2</v>
      </c>
      <c r="AP183" s="135">
        <f t="shared" si="227"/>
        <v>-2.5806451612903181E-2</v>
      </c>
      <c r="AQ183" s="135">
        <f t="shared" si="227"/>
        <v>3.6764705882353033E-2</v>
      </c>
      <c r="AR183" s="135">
        <f t="shared" si="227"/>
        <v>0</v>
      </c>
      <c r="AS183" s="135">
        <f t="shared" ref="AS183:BB184" si="228">AS12/AO12-1</f>
        <v>-4.3795620437956151E-2</v>
      </c>
      <c r="AT183" s="135">
        <f t="shared" si="228"/>
        <v>-0.31788079470198671</v>
      </c>
      <c r="AU183" s="135">
        <f t="shared" si="228"/>
        <v>-0.24822695035460995</v>
      </c>
      <c r="AV183" s="135">
        <f t="shared" si="228"/>
        <v>-0.21481481481481479</v>
      </c>
      <c r="AW183" s="135">
        <f t="shared" si="228"/>
        <v>-0.19083969465648853</v>
      </c>
      <c r="AX183" s="135">
        <f t="shared" si="228"/>
        <v>-1</v>
      </c>
      <c r="AY183" s="135">
        <f t="shared" si="228"/>
        <v>-1</v>
      </c>
      <c r="AZ183" s="135">
        <f t="shared" si="228"/>
        <v>-1</v>
      </c>
      <c r="BA183" s="135">
        <f t="shared" si="228"/>
        <v>-1</v>
      </c>
      <c r="BB183" s="135" t="e">
        <f t="shared" si="228"/>
        <v>#DIV/0!</v>
      </c>
      <c r="BC183" s="136"/>
    </row>
    <row r="184" spans="2:56" ht="14.55" customHeight="1" x14ac:dyDescent="0.3">
      <c r="B184" s="42" t="s">
        <v>346</v>
      </c>
      <c r="C184" s="47"/>
      <c r="D184" s="47"/>
      <c r="E184" s="47"/>
      <c r="F184" s="47"/>
      <c r="G184" s="47"/>
      <c r="H184" s="47"/>
      <c r="I184" s="47"/>
      <c r="J184" s="47"/>
      <c r="K184" s="47"/>
      <c r="L184" s="47"/>
      <c r="M184" s="47"/>
      <c r="N184" s="47"/>
      <c r="O184" s="47"/>
      <c r="P184" s="47"/>
      <c r="Q184" s="47"/>
      <c r="R184" s="47"/>
      <c r="S184" s="47"/>
      <c r="T184" s="47"/>
      <c r="U184" s="47"/>
      <c r="V184" s="47"/>
      <c r="W184" s="47"/>
      <c r="X184" s="47"/>
      <c r="Y184" s="47"/>
      <c r="Z184" s="47"/>
      <c r="AA184" s="47"/>
      <c r="AB184" s="47"/>
      <c r="AC184" s="115"/>
      <c r="AD184" s="135">
        <f t="shared" si="226"/>
        <v>0.14285714285714279</v>
      </c>
      <c r="AE184" s="135">
        <f t="shared" si="226"/>
        <v>6.6666666666666652E-2</v>
      </c>
      <c r="AF184" s="135">
        <f t="shared" si="226"/>
        <v>8.8607594936708889E-2</v>
      </c>
      <c r="AG184" s="135">
        <f t="shared" si="226"/>
        <v>0.1875</v>
      </c>
      <c r="AH184" s="135">
        <f>AH13/AD13-1</f>
        <v>0.30000000000000004</v>
      </c>
      <c r="AI184" s="135">
        <f t="shared" si="227"/>
        <v>0.41250000000000009</v>
      </c>
      <c r="AJ184" s="135">
        <f t="shared" si="227"/>
        <v>0.31395348837209291</v>
      </c>
      <c r="AK184" s="135">
        <f t="shared" si="227"/>
        <v>0.26315789473684204</v>
      </c>
      <c r="AL184" s="135">
        <f t="shared" si="227"/>
        <v>0.22115384615384626</v>
      </c>
      <c r="AM184" s="135">
        <f t="shared" si="227"/>
        <v>0.19469026548672574</v>
      </c>
      <c r="AN184" s="135">
        <f t="shared" si="227"/>
        <v>0.25663716814159288</v>
      </c>
      <c r="AO184" s="135">
        <f t="shared" si="227"/>
        <v>0.2416666666666667</v>
      </c>
      <c r="AP184" s="135">
        <f t="shared" si="227"/>
        <v>0.25196850393700787</v>
      </c>
      <c r="AQ184" s="135">
        <f t="shared" si="227"/>
        <v>0.22962962962962963</v>
      </c>
      <c r="AR184" s="135">
        <f t="shared" si="227"/>
        <v>0.24647887323943651</v>
      </c>
      <c r="AS184" s="135">
        <f t="shared" si="228"/>
        <v>0.2348993288590604</v>
      </c>
      <c r="AT184" s="135">
        <f t="shared" si="228"/>
        <v>0.20125786163522008</v>
      </c>
      <c r="AU184" s="135">
        <f t="shared" si="228"/>
        <v>0.18072289156626509</v>
      </c>
      <c r="AV184" s="135">
        <f t="shared" si="228"/>
        <v>0.15819209039548032</v>
      </c>
      <c r="AW184" s="135">
        <f t="shared" si="228"/>
        <v>0.11413043478260865</v>
      </c>
      <c r="AX184" s="135">
        <f t="shared" si="228"/>
        <v>-1</v>
      </c>
      <c r="AY184" s="135">
        <f t="shared" si="228"/>
        <v>-1</v>
      </c>
      <c r="AZ184" s="135">
        <f t="shared" si="228"/>
        <v>-1</v>
      </c>
      <c r="BA184" s="135">
        <f t="shared" si="228"/>
        <v>-1</v>
      </c>
      <c r="BB184" s="135" t="e">
        <f t="shared" si="228"/>
        <v>#DIV/0!</v>
      </c>
    </row>
    <row r="185" spans="2:56" ht="14.55" customHeight="1" x14ac:dyDescent="0.3">
      <c r="C185" s="47"/>
      <c r="D185" s="47"/>
      <c r="E185" s="47"/>
      <c r="F185" s="47"/>
      <c r="G185" s="47"/>
      <c r="H185" s="47"/>
      <c r="I185" s="47"/>
      <c r="J185" s="47"/>
      <c r="K185" s="47"/>
      <c r="L185" s="47"/>
      <c r="M185" s="47"/>
      <c r="N185" s="47"/>
      <c r="O185" s="47"/>
      <c r="P185" s="47"/>
      <c r="Q185" s="47"/>
      <c r="R185" s="47"/>
      <c r="S185" s="47"/>
      <c r="T185" s="47"/>
      <c r="U185" s="47"/>
      <c r="V185" s="47"/>
      <c r="W185" s="47"/>
      <c r="X185" s="47"/>
      <c r="Y185" s="47"/>
      <c r="Z185" s="47"/>
      <c r="AA185" s="47"/>
      <c r="AB185" s="47"/>
      <c r="AC185" s="115"/>
      <c r="AD185" s="115"/>
      <c r="AE185" s="115"/>
      <c r="AF185" s="115"/>
      <c r="AG185" s="115"/>
      <c r="AH185" s="115"/>
      <c r="AI185" s="115"/>
      <c r="AJ185" s="115"/>
      <c r="AK185" s="115"/>
      <c r="AL185" s="115"/>
      <c r="AM185" s="115"/>
      <c r="AN185" s="115"/>
      <c r="AO185" s="115"/>
      <c r="AP185" s="115"/>
      <c r="AQ185" s="115"/>
      <c r="AR185" s="115"/>
      <c r="AS185" s="115"/>
      <c r="AT185" s="115"/>
      <c r="AU185" s="115"/>
      <c r="AV185" s="115"/>
      <c r="AW185" s="115"/>
      <c r="AX185" s="115"/>
      <c r="AY185" s="115"/>
      <c r="AZ185" s="115"/>
      <c r="BA185" s="115"/>
      <c r="BB185" s="115"/>
    </row>
    <row r="186" spans="2:56" ht="14.55" customHeight="1" x14ac:dyDescent="0.3">
      <c r="C186" s="47"/>
      <c r="D186" s="47"/>
      <c r="E186" s="47"/>
      <c r="F186" s="47"/>
      <c r="G186" s="47"/>
      <c r="H186" s="47"/>
      <c r="I186" s="47"/>
      <c r="J186" s="47"/>
      <c r="K186" s="47"/>
      <c r="L186" s="47"/>
      <c r="M186" s="47"/>
      <c r="N186" s="47"/>
      <c r="O186" s="47"/>
      <c r="P186" s="47"/>
      <c r="Q186" s="47"/>
      <c r="R186" s="47"/>
      <c r="S186" s="47"/>
      <c r="T186" s="47"/>
      <c r="U186" s="47"/>
      <c r="V186" s="47"/>
      <c r="W186" s="47"/>
      <c r="X186" s="47"/>
      <c r="Y186" s="47"/>
      <c r="Z186" s="47"/>
      <c r="AA186" s="47"/>
      <c r="AB186" s="47"/>
      <c r="AC186" s="115"/>
      <c r="AD186" s="115"/>
      <c r="AE186" s="115"/>
      <c r="AF186" s="115"/>
      <c r="AG186" s="115"/>
      <c r="AH186" s="115"/>
      <c r="AI186" s="115"/>
      <c r="AJ186" s="115"/>
      <c r="AK186" s="115"/>
      <c r="AL186" s="115"/>
      <c r="AM186" s="115"/>
      <c r="AN186" s="115"/>
      <c r="AO186" s="115"/>
      <c r="AP186" s="115"/>
      <c r="AQ186" s="115"/>
      <c r="AR186" s="115"/>
      <c r="AS186" s="115"/>
      <c r="AT186" s="115"/>
      <c r="AU186" s="115"/>
      <c r="AV186" s="115"/>
      <c r="AW186" s="115"/>
      <c r="AX186" s="115"/>
      <c r="AY186" s="115"/>
      <c r="AZ186" s="115"/>
      <c r="BA186" s="115"/>
      <c r="BB186" s="115"/>
    </row>
    <row r="187" spans="2:56" ht="14.55" customHeight="1" x14ac:dyDescent="0.3">
      <c r="B187" s="38" t="s">
        <v>344</v>
      </c>
      <c r="C187" s="47"/>
      <c r="D187" s="47"/>
      <c r="E187" s="47"/>
      <c r="F187" s="47"/>
      <c r="G187" s="47"/>
      <c r="H187" s="47"/>
      <c r="I187" s="47"/>
      <c r="J187" s="47"/>
      <c r="K187" s="47"/>
      <c r="L187" s="47"/>
      <c r="M187" s="47"/>
      <c r="N187" s="47"/>
      <c r="O187" s="47"/>
      <c r="P187" s="47"/>
      <c r="Q187" s="47"/>
      <c r="R187" s="47"/>
      <c r="S187" s="137">
        <f t="shared" ref="S187:AD187" si="229">S55</f>
        <v>1161</v>
      </c>
      <c r="T187" s="137">
        <f t="shared" si="229"/>
        <v>1010</v>
      </c>
      <c r="U187" s="137">
        <f t="shared" si="229"/>
        <v>1144</v>
      </c>
      <c r="V187" s="137">
        <f t="shared" si="229"/>
        <v>1187</v>
      </c>
      <c r="W187" s="137">
        <f t="shared" si="229"/>
        <v>1024</v>
      </c>
      <c r="X187" s="137">
        <f t="shared" si="229"/>
        <v>1006</v>
      </c>
      <c r="Y187" s="137">
        <f t="shared" si="229"/>
        <v>1119</v>
      </c>
      <c r="Z187" s="137">
        <f t="shared" si="229"/>
        <v>1046</v>
      </c>
      <c r="AA187" s="137">
        <f t="shared" si="229"/>
        <v>1020</v>
      </c>
      <c r="AB187" s="137">
        <f t="shared" si="229"/>
        <v>1007</v>
      </c>
      <c r="AC187" s="137">
        <f t="shared" si="229"/>
        <v>1047</v>
      </c>
      <c r="AD187" s="137">
        <f t="shared" si="229"/>
        <v>769</v>
      </c>
      <c r="AE187" s="138">
        <v>953</v>
      </c>
      <c r="AF187" s="138">
        <v>947</v>
      </c>
      <c r="AG187" s="138">
        <v>964</v>
      </c>
      <c r="AH187" s="138">
        <v>904</v>
      </c>
      <c r="AI187" s="138">
        <v>920</v>
      </c>
      <c r="AJ187" s="138">
        <v>903</v>
      </c>
      <c r="AK187" s="138">
        <v>924</v>
      </c>
      <c r="AL187" s="137">
        <f t="shared" ref="AL187:AZ187" si="230">AL55</f>
        <v>939</v>
      </c>
      <c r="AM187" s="137">
        <f t="shared" si="230"/>
        <v>961</v>
      </c>
      <c r="AN187" s="137">
        <f t="shared" si="230"/>
        <v>1006</v>
      </c>
      <c r="AO187" s="137">
        <f t="shared" si="230"/>
        <v>977</v>
      </c>
      <c r="AP187" s="137">
        <f t="shared" si="230"/>
        <v>932</v>
      </c>
      <c r="AQ187" s="137">
        <f t="shared" si="230"/>
        <v>927</v>
      </c>
      <c r="AR187" s="137">
        <f t="shared" si="230"/>
        <v>1012</v>
      </c>
      <c r="AS187" s="137">
        <f t="shared" si="230"/>
        <v>1004</v>
      </c>
      <c r="AT187" s="137">
        <f t="shared" si="230"/>
        <v>986</v>
      </c>
      <c r="AU187" s="137">
        <f t="shared" si="230"/>
        <v>972</v>
      </c>
      <c r="AV187" s="137">
        <f t="shared" si="230"/>
        <v>1002</v>
      </c>
      <c r="AW187" s="137">
        <f t="shared" si="230"/>
        <v>929</v>
      </c>
      <c r="AX187" s="137">
        <f t="shared" si="230"/>
        <v>1057</v>
      </c>
      <c r="AY187" s="137">
        <f t="shared" si="230"/>
        <v>1044</v>
      </c>
      <c r="AZ187" s="137">
        <f t="shared" si="230"/>
        <v>1046</v>
      </c>
      <c r="BA187" s="137">
        <f t="shared" ref="BA187:BB187" si="231">BA55</f>
        <v>1048</v>
      </c>
      <c r="BB187" s="137">
        <f t="shared" si="231"/>
        <v>984</v>
      </c>
    </row>
    <row r="188" spans="2:56" ht="14.55" customHeight="1" x14ac:dyDescent="0.3">
      <c r="B188" s="38" t="s">
        <v>343</v>
      </c>
      <c r="C188" s="47"/>
      <c r="D188" s="47"/>
      <c r="E188" s="47"/>
      <c r="F188" s="47"/>
      <c r="G188" s="47"/>
      <c r="H188" s="47"/>
      <c r="I188" s="47"/>
      <c r="J188" s="47"/>
      <c r="K188" s="47"/>
      <c r="L188" s="47"/>
      <c r="M188" s="47"/>
      <c r="N188" s="47"/>
      <c r="O188" s="47"/>
      <c r="P188" s="47"/>
      <c r="Q188" s="47"/>
      <c r="R188" s="47"/>
      <c r="S188" s="47"/>
      <c r="T188" s="47"/>
      <c r="U188" s="47"/>
      <c r="V188" s="47"/>
      <c r="W188" s="134">
        <f t="shared" ref="W188" si="232">W187/S187-1</f>
        <v>-0.11800172265288544</v>
      </c>
      <c r="X188" s="134">
        <f t="shared" ref="X188" si="233">X187/T187-1</f>
        <v>-3.9603960396039639E-3</v>
      </c>
      <c r="Y188" s="134">
        <f t="shared" ref="Y188" si="234">Y187/U187-1</f>
        <v>-2.1853146853146876E-2</v>
      </c>
      <c r="Z188" s="134">
        <f t="shared" ref="Z188" si="235">Z187/V187-1</f>
        <v>-0.11878685762426289</v>
      </c>
      <c r="AA188" s="134">
        <f t="shared" ref="AA188" si="236">AA187/W187-1</f>
        <v>-3.90625E-3</v>
      </c>
      <c r="AB188" s="134">
        <f t="shared" ref="AB188" si="237">AB187/X187-1</f>
        <v>9.9403578528822756E-4</v>
      </c>
      <c r="AC188" s="134">
        <f t="shared" ref="AC188" si="238">AC187/Y187-1</f>
        <v>-6.4343163538874037E-2</v>
      </c>
      <c r="AD188" s="134">
        <f t="shared" ref="AD188" si="239">AD187/Z187-1</f>
        <v>-0.26481835564053535</v>
      </c>
      <c r="AE188" s="139">
        <v>-6.568627450980391E-2</v>
      </c>
      <c r="AF188" s="139">
        <v>-5.9582919563058612E-2</v>
      </c>
      <c r="AG188" s="139">
        <v>-7.9274116523400218E-2</v>
      </c>
      <c r="AH188" s="139">
        <v>0.17555266579973994</v>
      </c>
      <c r="AI188" s="139">
        <v>-3.46274921301154E-2</v>
      </c>
      <c r="AJ188" s="139">
        <v>-4.6462513199577615E-2</v>
      </c>
      <c r="AK188" s="139">
        <v>-4.1493775933609922E-2</v>
      </c>
      <c r="AL188" s="134">
        <f t="shared" ref="AL188:BB188" si="240">AL187/AH187-1</f>
        <v>3.8716814159291957E-2</v>
      </c>
      <c r="AM188" s="134">
        <f t="shared" si="240"/>
        <v>4.4565217391304257E-2</v>
      </c>
      <c r="AN188" s="134">
        <f t="shared" si="240"/>
        <v>0.11406423034330015</v>
      </c>
      <c r="AO188" s="134">
        <f t="shared" si="240"/>
        <v>5.7359307359307277E-2</v>
      </c>
      <c r="AP188" s="134">
        <f t="shared" si="240"/>
        <v>-7.4547390841320782E-3</v>
      </c>
      <c r="AQ188" s="134">
        <f t="shared" si="240"/>
        <v>-3.5379812695109258E-2</v>
      </c>
      <c r="AR188" s="134">
        <f t="shared" si="240"/>
        <v>5.9642147117295874E-3</v>
      </c>
      <c r="AS188" s="134">
        <f t="shared" si="240"/>
        <v>2.763561924257929E-2</v>
      </c>
      <c r="AT188" s="134">
        <f t="shared" si="240"/>
        <v>5.7939914163090078E-2</v>
      </c>
      <c r="AU188" s="134">
        <f t="shared" si="240"/>
        <v>4.8543689320388328E-2</v>
      </c>
      <c r="AV188" s="134">
        <f t="shared" si="240"/>
        <v>-9.8814229249012397E-3</v>
      </c>
      <c r="AW188" s="134">
        <f t="shared" si="240"/>
        <v>-7.4701195219123551E-2</v>
      </c>
      <c r="AX188" s="134">
        <f t="shared" si="240"/>
        <v>7.2008113590263712E-2</v>
      </c>
      <c r="AY188" s="134">
        <f t="shared" si="240"/>
        <v>7.4074074074074181E-2</v>
      </c>
      <c r="AZ188" s="134">
        <f t="shared" si="240"/>
        <v>4.3912175648702645E-2</v>
      </c>
      <c r="BA188" s="134">
        <f t="shared" si="240"/>
        <v>0.12809472551130252</v>
      </c>
      <c r="BB188" s="134">
        <f t="shared" si="240"/>
        <v>-6.9063386944181682E-2</v>
      </c>
    </row>
    <row r="189" spans="2:56" ht="14.55" customHeight="1" x14ac:dyDescent="0.3">
      <c r="B189" s="38" t="s">
        <v>347</v>
      </c>
      <c r="C189" s="47"/>
      <c r="D189" s="47"/>
      <c r="E189" s="47"/>
      <c r="F189" s="47"/>
      <c r="G189" s="47"/>
      <c r="H189" s="47"/>
      <c r="I189" s="47"/>
      <c r="J189" s="47"/>
      <c r="K189" s="47"/>
      <c r="L189" s="47"/>
      <c r="M189" s="47"/>
      <c r="N189" s="47"/>
      <c r="O189" s="47"/>
      <c r="P189" s="47"/>
      <c r="Q189" s="47"/>
      <c r="R189" s="47"/>
      <c r="S189" s="47"/>
      <c r="T189" s="47"/>
      <c r="U189" s="47"/>
      <c r="V189" s="47"/>
      <c r="W189" s="47"/>
      <c r="X189" s="47"/>
      <c r="Y189" s="47"/>
      <c r="Z189" s="47"/>
      <c r="AA189" s="115"/>
      <c r="AB189" s="115"/>
      <c r="AC189" s="115"/>
      <c r="AD189" s="140">
        <v>250</v>
      </c>
      <c r="AE189" s="115"/>
      <c r="AF189" s="115"/>
      <c r="AG189" s="115"/>
      <c r="AH189" s="115"/>
      <c r="AI189" s="115"/>
      <c r="AJ189" s="115"/>
      <c r="AK189" s="115"/>
      <c r="AL189" s="115"/>
      <c r="AM189" s="115"/>
      <c r="AN189" s="115"/>
      <c r="AO189" s="115"/>
      <c r="AP189" s="115"/>
      <c r="AQ189" s="115"/>
      <c r="AR189" s="115"/>
      <c r="AS189" s="115"/>
      <c r="AT189" s="115"/>
      <c r="AU189" s="115"/>
      <c r="AV189" s="115"/>
      <c r="AW189" s="115"/>
      <c r="AX189" s="115"/>
      <c r="AY189" s="115"/>
      <c r="AZ189" s="115"/>
      <c r="BA189" s="115"/>
      <c r="BB189" s="115"/>
    </row>
    <row r="190" spans="2:56" ht="14.55" customHeight="1" x14ac:dyDescent="0.3">
      <c r="B190" s="38" t="s">
        <v>350</v>
      </c>
      <c r="C190" s="47"/>
      <c r="D190" s="47"/>
      <c r="E190" s="47"/>
      <c r="F190" s="47"/>
      <c r="G190" s="47"/>
      <c r="H190" s="47"/>
      <c r="I190" s="47"/>
      <c r="J190" s="47"/>
      <c r="K190" s="47"/>
      <c r="L190" s="47"/>
      <c r="M190" s="47"/>
      <c r="N190" s="47"/>
      <c r="O190" s="47"/>
      <c r="P190" s="47"/>
      <c r="Q190" s="47"/>
      <c r="R190" s="47"/>
      <c r="S190" s="47"/>
      <c r="T190" s="47"/>
      <c r="U190" s="47"/>
      <c r="V190" s="47"/>
      <c r="W190" s="47"/>
      <c r="X190" s="47"/>
      <c r="Y190" s="47"/>
      <c r="Z190" s="47"/>
      <c r="AA190" s="47"/>
      <c r="AB190" s="47"/>
      <c r="AC190" s="115"/>
      <c r="AD190" s="134">
        <f>(AD187+AD189)/Z187-1</f>
        <v>-2.5812619502868062E-2</v>
      </c>
      <c r="AE190" s="115"/>
      <c r="AF190" s="115"/>
      <c r="AG190" s="115"/>
      <c r="AH190" s="134">
        <f>(AH187)/(AD187+AD189)-1</f>
        <v>-0.11285574092247297</v>
      </c>
      <c r="AI190" s="134"/>
      <c r="AJ190" s="134"/>
      <c r="AK190" s="134"/>
      <c r="AL190" s="134"/>
      <c r="AM190" s="134"/>
      <c r="AN190" s="134"/>
      <c r="AO190" s="134"/>
      <c r="AP190" s="134"/>
      <c r="AQ190" s="134"/>
      <c r="AR190" s="134"/>
      <c r="AS190" s="134"/>
      <c r="AT190" s="134"/>
      <c r="AU190" s="134"/>
      <c r="AV190" s="134"/>
      <c r="AW190" s="134"/>
      <c r="AX190" s="134"/>
      <c r="AY190" s="134"/>
      <c r="AZ190" s="134"/>
      <c r="BA190" s="134"/>
      <c r="BB190" s="134"/>
    </row>
    <row r="191" spans="2:56" ht="14.55" customHeight="1" x14ac:dyDescent="0.3">
      <c r="C191" s="47"/>
      <c r="D191" s="47"/>
      <c r="E191" s="47"/>
      <c r="F191" s="47"/>
      <c r="G191" s="47"/>
      <c r="H191" s="47"/>
      <c r="I191" s="47"/>
      <c r="J191" s="47"/>
      <c r="K191" s="47"/>
      <c r="L191" s="47"/>
      <c r="M191" s="47"/>
      <c r="N191" s="47"/>
      <c r="O191" s="47"/>
      <c r="P191" s="47"/>
      <c r="Q191" s="47"/>
      <c r="R191" s="47"/>
      <c r="S191" s="47"/>
      <c r="T191" s="47"/>
      <c r="U191" s="47"/>
      <c r="V191" s="47"/>
      <c r="W191" s="47"/>
      <c r="X191" s="47"/>
      <c r="Y191" s="47"/>
      <c r="Z191" s="47"/>
      <c r="AA191" s="47"/>
      <c r="AB191" s="47"/>
      <c r="AC191" s="115"/>
      <c r="AD191" s="115"/>
      <c r="AE191" s="115"/>
      <c r="AF191" s="115"/>
      <c r="AG191" s="115"/>
      <c r="AH191" s="115"/>
      <c r="AI191" s="115"/>
      <c r="AJ191" s="115"/>
      <c r="AK191" s="115"/>
      <c r="AL191" s="115"/>
      <c r="AM191" s="115"/>
      <c r="AN191" s="115"/>
      <c r="AO191" s="115"/>
      <c r="AP191" s="115"/>
      <c r="AQ191" s="115"/>
      <c r="AR191" s="115"/>
      <c r="AS191" s="115"/>
      <c r="AT191" s="115"/>
      <c r="AU191" s="115"/>
      <c r="AV191" s="115"/>
      <c r="AW191" s="115"/>
      <c r="AX191" s="115"/>
      <c r="AY191" s="115"/>
      <c r="AZ191" s="115"/>
      <c r="BA191" s="115"/>
      <c r="BB191" s="115"/>
    </row>
    <row r="192" spans="2:56" ht="14.55" customHeight="1" x14ac:dyDescent="0.3">
      <c r="B192" s="38" t="s">
        <v>348</v>
      </c>
      <c r="C192" s="47"/>
      <c r="D192" s="47"/>
      <c r="E192" s="47"/>
      <c r="F192" s="47"/>
      <c r="G192" s="47"/>
      <c r="H192" s="47"/>
      <c r="I192" s="47"/>
      <c r="J192" s="47"/>
      <c r="K192" s="47"/>
      <c r="L192" s="47"/>
      <c r="M192" s="47"/>
      <c r="N192" s="47"/>
      <c r="O192" s="47"/>
      <c r="P192" s="47"/>
      <c r="Q192" s="47"/>
      <c r="R192" s="47"/>
      <c r="S192" s="47"/>
      <c r="T192" s="47"/>
      <c r="U192" s="47"/>
      <c r="V192" s="47"/>
      <c r="W192" s="47"/>
      <c r="X192" s="47"/>
      <c r="Y192" s="47"/>
      <c r="Z192" s="47"/>
      <c r="AA192" s="47"/>
      <c r="AB192" s="47"/>
      <c r="AC192" s="115"/>
      <c r="AD192" s="115"/>
      <c r="AE192" s="115"/>
      <c r="AF192" s="115"/>
      <c r="AG192" s="115"/>
      <c r="AH192" s="115"/>
      <c r="AI192" s="141"/>
      <c r="AJ192" s="141"/>
      <c r="AK192" s="141"/>
      <c r="AL192" s="141"/>
      <c r="AM192" s="141"/>
      <c r="AN192" s="141"/>
      <c r="AO192" s="141"/>
      <c r="AP192" s="141"/>
      <c r="AQ192" s="141"/>
      <c r="AR192" s="141"/>
      <c r="AS192" s="141"/>
      <c r="AT192" s="141"/>
      <c r="AU192" s="141"/>
      <c r="AV192" s="141"/>
      <c r="AW192" s="141"/>
      <c r="AX192" s="141"/>
      <c r="AY192" s="141"/>
      <c r="AZ192" s="141"/>
      <c r="BA192" s="141"/>
      <c r="BB192" s="141"/>
      <c r="BD192" s="142"/>
    </row>
    <row r="193" spans="2:54" ht="14.55" customHeight="1" x14ac:dyDescent="0.3">
      <c r="C193" s="47"/>
      <c r="D193" s="47"/>
      <c r="E193" s="47"/>
      <c r="F193" s="47"/>
      <c r="G193" s="47"/>
      <c r="H193" s="47"/>
      <c r="I193" s="47"/>
      <c r="J193" s="47"/>
      <c r="K193" s="47"/>
      <c r="L193" s="47"/>
      <c r="M193" s="47"/>
      <c r="N193" s="47"/>
      <c r="O193" s="47"/>
      <c r="P193" s="47"/>
      <c r="Q193" s="47"/>
      <c r="R193" s="47"/>
      <c r="S193" s="47"/>
      <c r="T193" s="47"/>
      <c r="U193" s="47"/>
      <c r="V193" s="47"/>
      <c r="W193" s="47"/>
      <c r="X193" s="47"/>
      <c r="Y193" s="47"/>
      <c r="Z193" s="47"/>
      <c r="AA193" s="47"/>
      <c r="AB193" s="47"/>
      <c r="AC193" s="115"/>
      <c r="AD193" s="115"/>
      <c r="AE193" s="115"/>
      <c r="AF193" s="115"/>
      <c r="AG193" s="115"/>
      <c r="AH193" s="115"/>
      <c r="AI193" s="118"/>
      <c r="AJ193" s="118"/>
      <c r="AK193" s="118"/>
      <c r="AL193" s="118"/>
      <c r="AM193" s="118"/>
      <c r="AN193" s="118"/>
      <c r="AO193" s="118"/>
      <c r="AP193" s="118"/>
      <c r="AQ193" s="118"/>
      <c r="AR193" s="118"/>
      <c r="AS193" s="118"/>
      <c r="AT193" s="118"/>
      <c r="AU193" s="118"/>
      <c r="AV193" s="118"/>
      <c r="AW193" s="118"/>
      <c r="AX193" s="118"/>
      <c r="AY193" s="118"/>
      <c r="AZ193" s="118"/>
      <c r="BA193" s="118"/>
      <c r="BB193" s="118"/>
    </row>
    <row r="194" spans="2:54" ht="14.55" customHeight="1" x14ac:dyDescent="0.3">
      <c r="C194" s="47"/>
      <c r="D194" s="47"/>
      <c r="E194" s="47"/>
      <c r="F194" s="47"/>
      <c r="G194" s="47"/>
      <c r="H194" s="47"/>
      <c r="I194" s="47"/>
      <c r="J194" s="47"/>
      <c r="K194" s="47"/>
      <c r="L194" s="47"/>
      <c r="M194" s="47"/>
      <c r="N194" s="47"/>
      <c r="O194" s="47"/>
      <c r="P194" s="47"/>
      <c r="Q194" s="47"/>
      <c r="R194" s="47"/>
      <c r="S194" s="47"/>
      <c r="T194" s="47"/>
      <c r="U194" s="47"/>
      <c r="V194" s="47"/>
      <c r="W194" s="47"/>
      <c r="X194" s="47"/>
      <c r="Y194" s="47"/>
      <c r="Z194" s="47"/>
      <c r="AA194" s="47"/>
      <c r="AB194" s="47"/>
      <c r="AC194" s="115"/>
      <c r="AD194" s="115"/>
      <c r="AE194" s="115"/>
      <c r="AF194" s="115"/>
      <c r="AG194" s="115"/>
      <c r="AH194" s="115"/>
      <c r="AI194" s="115"/>
      <c r="AJ194" s="115"/>
      <c r="AK194" s="115"/>
      <c r="AL194" s="115"/>
      <c r="AM194" s="115"/>
      <c r="AN194" s="115"/>
      <c r="AO194" s="115"/>
      <c r="AP194" s="115"/>
      <c r="AQ194" s="115"/>
      <c r="AR194" s="115"/>
      <c r="AS194" s="115"/>
      <c r="AT194" s="115"/>
      <c r="AU194" s="115"/>
      <c r="AV194" s="115"/>
      <c r="AW194" s="115"/>
      <c r="AX194" s="115"/>
      <c r="AY194" s="115"/>
      <c r="AZ194" s="115"/>
      <c r="BA194" s="115"/>
      <c r="BB194" s="115"/>
    </row>
    <row r="195" spans="2:54" ht="14.55" customHeight="1" x14ac:dyDescent="0.3">
      <c r="C195" s="47"/>
      <c r="D195" s="47"/>
      <c r="E195" s="47"/>
      <c r="F195" s="47"/>
      <c r="G195" s="47"/>
      <c r="H195" s="47"/>
      <c r="I195" s="47"/>
      <c r="J195" s="47"/>
      <c r="K195" s="47"/>
      <c r="L195" s="47"/>
      <c r="M195" s="47"/>
      <c r="N195" s="47"/>
      <c r="O195" s="47"/>
      <c r="P195" s="47"/>
      <c r="Q195" s="47"/>
      <c r="R195" s="47"/>
      <c r="S195" s="47"/>
      <c r="T195" s="47"/>
      <c r="U195" s="47"/>
      <c r="V195" s="47"/>
      <c r="W195" s="47"/>
      <c r="X195" s="47"/>
      <c r="Y195" s="47"/>
      <c r="Z195" s="47"/>
      <c r="AA195" s="47"/>
      <c r="AB195" s="47"/>
      <c r="AC195" s="115"/>
      <c r="AD195" s="115"/>
      <c r="AE195" s="115"/>
      <c r="AF195" s="115"/>
      <c r="AG195" s="115"/>
      <c r="AH195" s="115"/>
      <c r="AI195" s="115"/>
      <c r="AJ195" s="115"/>
      <c r="AK195" s="115"/>
      <c r="AL195" s="115"/>
      <c r="AM195" s="115"/>
      <c r="AN195" s="115"/>
      <c r="AO195" s="115"/>
      <c r="AP195" s="115"/>
      <c r="AQ195" s="115"/>
      <c r="AR195" s="115"/>
      <c r="AS195" s="115"/>
      <c r="AT195" s="115"/>
      <c r="AU195" s="115"/>
      <c r="AV195" s="115"/>
      <c r="AW195" s="115"/>
      <c r="AX195" s="115"/>
      <c r="AY195" s="115"/>
      <c r="AZ195" s="115"/>
      <c r="BA195" s="115"/>
      <c r="BB195" s="115"/>
    </row>
    <row r="196" spans="2:54" ht="14.55" customHeight="1" x14ac:dyDescent="0.3">
      <c r="B196" s="38" t="s">
        <v>349</v>
      </c>
      <c r="C196" s="47"/>
      <c r="D196" s="47"/>
      <c r="E196" s="47"/>
      <c r="F196" s="47"/>
      <c r="G196" s="47"/>
      <c r="H196" s="47"/>
      <c r="I196" s="47"/>
      <c r="J196" s="47"/>
      <c r="K196" s="47"/>
      <c r="L196" s="47"/>
      <c r="M196" s="47"/>
      <c r="N196" s="47"/>
      <c r="O196" s="47"/>
      <c r="P196" s="47"/>
      <c r="Q196" s="47"/>
      <c r="R196" s="47"/>
      <c r="S196" s="47"/>
      <c r="T196" s="47"/>
      <c r="U196" s="47"/>
      <c r="V196" s="47"/>
      <c r="W196" s="47"/>
      <c r="X196" s="47"/>
      <c r="Y196" s="47"/>
      <c r="Z196" s="47"/>
      <c r="AA196" s="47"/>
      <c r="AB196" s="47"/>
      <c r="AC196" s="115"/>
      <c r="AD196" s="115"/>
      <c r="AE196" s="115"/>
      <c r="AF196" s="115"/>
      <c r="AG196" s="115"/>
      <c r="AH196" s="115"/>
      <c r="AI196" s="115"/>
      <c r="AJ196" s="115"/>
      <c r="AK196" s="115"/>
      <c r="AL196" s="115"/>
      <c r="AM196" s="115"/>
      <c r="AN196" s="115"/>
      <c r="AO196" s="115"/>
      <c r="AP196" s="115"/>
      <c r="AQ196" s="115"/>
      <c r="AR196" s="115"/>
      <c r="AS196" s="115"/>
      <c r="AT196" s="115"/>
      <c r="AU196" s="115"/>
      <c r="AV196" s="115"/>
      <c r="AW196" s="115"/>
      <c r="AX196" s="115"/>
      <c r="AY196" s="115"/>
      <c r="AZ196" s="115"/>
      <c r="BA196" s="115"/>
      <c r="BB196" s="115"/>
    </row>
    <row r="197" spans="2:54" ht="14.55" customHeight="1" x14ac:dyDescent="0.3">
      <c r="C197" s="47"/>
      <c r="D197" s="47"/>
      <c r="E197" s="47"/>
      <c r="F197" s="47"/>
      <c r="G197" s="47"/>
      <c r="H197" s="47"/>
      <c r="I197" s="47"/>
      <c r="J197" s="47"/>
      <c r="K197" s="47"/>
      <c r="L197" s="47"/>
      <c r="M197" s="47"/>
      <c r="N197" s="47"/>
      <c r="O197" s="47"/>
      <c r="P197" s="47"/>
      <c r="Q197" s="47"/>
      <c r="R197" s="47"/>
      <c r="S197" s="47"/>
      <c r="T197" s="47"/>
      <c r="U197" s="47"/>
      <c r="V197" s="47"/>
      <c r="W197" s="47"/>
      <c r="X197" s="47"/>
      <c r="Y197" s="47"/>
      <c r="Z197" s="47"/>
      <c r="AA197" s="47"/>
      <c r="AB197" s="47"/>
      <c r="AC197" s="115"/>
      <c r="AD197" s="115"/>
      <c r="AE197" s="115"/>
      <c r="AF197" s="115"/>
      <c r="AG197" s="115"/>
      <c r="AH197" s="115"/>
      <c r="AI197" s="115"/>
      <c r="AJ197" s="115"/>
      <c r="AK197" s="115"/>
      <c r="AL197" s="115"/>
      <c r="AM197" s="115"/>
      <c r="AN197" s="115"/>
      <c r="AO197" s="115"/>
      <c r="AP197" s="115"/>
      <c r="AQ197" s="115"/>
      <c r="AR197" s="115"/>
      <c r="AS197" s="115"/>
      <c r="AT197" s="115"/>
      <c r="AU197" s="115"/>
      <c r="AV197" s="115"/>
      <c r="AW197" s="115"/>
      <c r="AX197" s="115"/>
      <c r="AY197" s="115"/>
      <c r="AZ197" s="115"/>
      <c r="BA197" s="115"/>
      <c r="BB197" s="115"/>
    </row>
    <row r="198" spans="2:54" ht="14.55" customHeight="1" x14ac:dyDescent="0.3">
      <c r="C198" s="47"/>
      <c r="D198" s="47"/>
      <c r="E198" s="47"/>
      <c r="F198" s="47"/>
      <c r="G198" s="47"/>
      <c r="H198" s="47"/>
      <c r="I198" s="47"/>
      <c r="J198" s="47"/>
      <c r="K198" s="47"/>
      <c r="L198" s="47"/>
      <c r="M198" s="47"/>
      <c r="N198" s="47"/>
      <c r="O198" s="47"/>
      <c r="P198" s="47"/>
      <c r="Q198" s="47"/>
      <c r="R198" s="47"/>
      <c r="S198" s="47"/>
      <c r="T198" s="47"/>
      <c r="U198" s="47"/>
      <c r="V198" s="47"/>
      <c r="W198" s="47"/>
      <c r="X198" s="47"/>
      <c r="Y198" s="47"/>
      <c r="Z198" s="47"/>
      <c r="AA198" s="47"/>
      <c r="AB198" s="47"/>
      <c r="AC198" s="115"/>
      <c r="AD198" s="115"/>
      <c r="AE198" s="115"/>
      <c r="AF198" s="115"/>
      <c r="AG198" s="115"/>
      <c r="AH198" s="115"/>
      <c r="AI198" s="115"/>
      <c r="AJ198" s="115"/>
      <c r="AK198" s="115"/>
      <c r="AL198" s="115"/>
      <c r="AM198" s="115"/>
      <c r="AN198" s="115"/>
      <c r="AO198" s="115"/>
      <c r="AP198" s="115"/>
      <c r="AQ198" s="115"/>
      <c r="AR198" s="115"/>
      <c r="AS198" s="115"/>
      <c r="AT198" s="115"/>
      <c r="AU198" s="115"/>
      <c r="AV198" s="115"/>
      <c r="AW198" s="115"/>
      <c r="AX198" s="115"/>
      <c r="AY198" s="115"/>
      <c r="AZ198" s="115"/>
      <c r="BA198" s="115"/>
      <c r="BB198" s="115"/>
    </row>
    <row r="199" spans="2:54" ht="14.55" customHeight="1" x14ac:dyDescent="0.3">
      <c r="C199" s="47"/>
      <c r="D199" s="47"/>
      <c r="E199" s="47"/>
      <c r="F199" s="47"/>
      <c r="G199" s="47"/>
      <c r="H199" s="47"/>
      <c r="I199" s="47"/>
      <c r="J199" s="47"/>
      <c r="K199" s="47"/>
      <c r="L199" s="47"/>
      <c r="M199" s="47"/>
      <c r="N199" s="47"/>
      <c r="O199" s="47"/>
      <c r="P199" s="47"/>
      <c r="Q199" s="47"/>
      <c r="R199" s="47"/>
      <c r="S199" s="47"/>
      <c r="T199" s="47"/>
      <c r="U199" s="47"/>
      <c r="V199" s="47"/>
      <c r="W199" s="47"/>
      <c r="X199" s="47"/>
      <c r="Y199" s="47"/>
      <c r="Z199" s="47"/>
      <c r="AA199" s="47"/>
      <c r="AB199" s="47"/>
      <c r="AC199" s="115"/>
      <c r="AD199" s="115"/>
      <c r="AE199" s="115"/>
      <c r="AF199" s="115"/>
      <c r="AG199" s="115"/>
      <c r="AH199" s="115"/>
      <c r="AI199" s="115"/>
      <c r="AJ199" s="115"/>
      <c r="AK199" s="115"/>
      <c r="AL199" s="115"/>
      <c r="AM199" s="115"/>
      <c r="AN199" s="115"/>
      <c r="AO199" s="115"/>
      <c r="AP199" s="115"/>
      <c r="AQ199" s="115"/>
      <c r="AR199" s="115"/>
      <c r="AS199" s="115"/>
      <c r="AT199" s="115"/>
      <c r="AU199" s="115"/>
      <c r="AV199" s="115"/>
      <c r="AW199" s="115"/>
      <c r="AX199" s="115"/>
      <c r="AY199" s="115"/>
      <c r="AZ199" s="115"/>
      <c r="BA199" s="115"/>
      <c r="BB199" s="115"/>
    </row>
    <row r="200" spans="2:54" ht="14.55" customHeight="1" x14ac:dyDescent="0.3">
      <c r="C200" s="47"/>
      <c r="D200" s="47"/>
      <c r="E200" s="47"/>
      <c r="F200" s="47"/>
      <c r="G200" s="47"/>
      <c r="H200" s="47"/>
      <c r="I200" s="47"/>
      <c r="J200" s="47"/>
      <c r="K200" s="47"/>
      <c r="L200" s="47"/>
      <c r="M200" s="47"/>
      <c r="N200" s="47"/>
      <c r="O200" s="47"/>
      <c r="P200" s="47"/>
      <c r="Q200" s="47"/>
      <c r="R200" s="47"/>
      <c r="S200" s="47"/>
      <c r="T200" s="47"/>
      <c r="U200" s="47"/>
      <c r="V200" s="47"/>
      <c r="W200" s="47"/>
      <c r="X200" s="47"/>
      <c r="Y200" s="47"/>
      <c r="Z200" s="47"/>
      <c r="AA200" s="47"/>
      <c r="AB200" s="47"/>
      <c r="AC200" s="115"/>
      <c r="AD200" s="115"/>
      <c r="AE200" s="115"/>
      <c r="AF200" s="115"/>
      <c r="AG200" s="115"/>
      <c r="AH200" s="115"/>
      <c r="AI200" s="115"/>
      <c r="AJ200" s="115"/>
      <c r="AK200" s="115"/>
      <c r="AL200" s="115"/>
      <c r="AM200" s="115"/>
      <c r="AN200" s="115"/>
      <c r="AO200" s="115"/>
      <c r="AP200" s="115"/>
      <c r="AQ200" s="115"/>
      <c r="AR200" s="115"/>
      <c r="AS200" s="115"/>
      <c r="AT200" s="115"/>
      <c r="AU200" s="115"/>
      <c r="AV200" s="115"/>
      <c r="AW200" s="115"/>
      <c r="AX200" s="115"/>
      <c r="AY200" s="115"/>
      <c r="AZ200" s="115"/>
      <c r="BA200" s="115"/>
      <c r="BB200" s="115"/>
    </row>
    <row r="201" spans="2:54" ht="14.55" customHeight="1" x14ac:dyDescent="0.3">
      <c r="C201" s="47"/>
      <c r="D201" s="47"/>
      <c r="E201" s="47"/>
      <c r="F201" s="47"/>
      <c r="G201" s="47"/>
      <c r="H201" s="47"/>
      <c r="I201" s="47"/>
      <c r="J201" s="47"/>
      <c r="K201" s="47"/>
      <c r="L201" s="47"/>
      <c r="M201" s="47"/>
      <c r="N201" s="47"/>
      <c r="O201" s="47"/>
      <c r="P201" s="47"/>
      <c r="Q201" s="47"/>
      <c r="R201" s="47"/>
      <c r="S201" s="47"/>
      <c r="T201" s="47"/>
      <c r="U201" s="47"/>
      <c r="V201" s="47"/>
      <c r="W201" s="47"/>
      <c r="X201" s="47"/>
      <c r="Y201" s="47"/>
      <c r="Z201" s="47"/>
      <c r="AA201" s="47"/>
      <c r="AB201" s="47"/>
      <c r="AC201" s="115"/>
      <c r="AD201" s="115"/>
      <c r="AE201" s="115"/>
      <c r="AF201" s="115"/>
      <c r="AG201" s="115"/>
      <c r="AH201" s="115"/>
      <c r="AI201" s="115"/>
      <c r="AJ201" s="115"/>
      <c r="AK201" s="115"/>
      <c r="AL201" s="115"/>
      <c r="AM201" s="115"/>
      <c r="AN201" s="115"/>
      <c r="AO201" s="115"/>
      <c r="AP201" s="115"/>
      <c r="AQ201" s="115"/>
      <c r="AR201" s="115"/>
      <c r="AS201" s="115"/>
      <c r="AT201" s="115"/>
      <c r="AU201" s="115"/>
      <c r="AV201" s="115"/>
      <c r="AW201" s="115"/>
      <c r="AX201" s="115"/>
      <c r="AY201" s="115"/>
      <c r="AZ201" s="115"/>
      <c r="BA201" s="115"/>
      <c r="BB201" s="115"/>
    </row>
    <row r="202" spans="2:54" ht="14.55" customHeight="1" x14ac:dyDescent="0.3">
      <c r="C202" s="47"/>
      <c r="D202" s="47"/>
      <c r="E202" s="47"/>
      <c r="F202" s="47"/>
      <c r="G202" s="47"/>
      <c r="H202" s="47"/>
      <c r="I202" s="47"/>
      <c r="J202" s="47"/>
      <c r="K202" s="47"/>
      <c r="L202" s="47"/>
      <c r="M202" s="47"/>
      <c r="N202" s="47"/>
      <c r="O202" s="47"/>
      <c r="P202" s="47"/>
      <c r="Q202" s="47"/>
      <c r="R202" s="47"/>
      <c r="S202" s="47"/>
      <c r="T202" s="47"/>
      <c r="U202" s="47"/>
      <c r="V202" s="47"/>
      <c r="W202" s="47"/>
      <c r="X202" s="47"/>
      <c r="Y202" s="47"/>
      <c r="Z202" s="47"/>
      <c r="AA202" s="47"/>
      <c r="AB202" s="47"/>
      <c r="AC202" s="115"/>
      <c r="AD202" s="115"/>
      <c r="AE202" s="115"/>
      <c r="AF202" s="115"/>
      <c r="AG202" s="115"/>
      <c r="AH202" s="115"/>
      <c r="AI202" s="115"/>
      <c r="AJ202" s="115"/>
      <c r="AK202" s="115"/>
      <c r="AL202" s="115"/>
      <c r="AM202" s="115"/>
      <c r="AN202" s="115"/>
      <c r="AO202" s="115"/>
      <c r="AP202" s="115"/>
      <c r="AQ202" s="115"/>
      <c r="AR202" s="115"/>
      <c r="AS202" s="115"/>
      <c r="AT202" s="115"/>
      <c r="AU202" s="115"/>
      <c r="AV202" s="115"/>
      <c r="AW202" s="115"/>
      <c r="AX202" s="115"/>
      <c r="AY202" s="115"/>
      <c r="AZ202" s="115"/>
      <c r="BA202" s="115"/>
      <c r="BB202" s="115"/>
    </row>
    <row r="203" spans="2:54" ht="14.55" customHeight="1" x14ac:dyDescent="0.3">
      <c r="C203" s="47"/>
      <c r="D203" s="47"/>
      <c r="E203" s="47"/>
      <c r="F203" s="47"/>
      <c r="G203" s="47"/>
      <c r="H203" s="47"/>
      <c r="I203" s="47"/>
      <c r="J203" s="47"/>
      <c r="K203" s="47"/>
      <c r="L203" s="47"/>
      <c r="M203" s="47"/>
      <c r="N203" s="47"/>
      <c r="O203" s="47"/>
      <c r="P203" s="47"/>
      <c r="Q203" s="47"/>
      <c r="R203" s="47"/>
      <c r="S203" s="47"/>
      <c r="T203" s="47"/>
      <c r="U203" s="47"/>
      <c r="V203" s="47"/>
      <c r="W203" s="47"/>
      <c r="X203" s="47"/>
      <c r="Y203" s="47"/>
      <c r="Z203" s="47"/>
      <c r="AA203" s="47"/>
      <c r="AB203" s="47"/>
      <c r="AC203" s="115"/>
      <c r="AD203" s="115"/>
      <c r="AE203" s="115"/>
      <c r="AF203" s="115"/>
      <c r="AG203" s="115"/>
      <c r="AH203" s="115"/>
      <c r="AI203" s="115"/>
      <c r="AJ203" s="115"/>
      <c r="AK203" s="115"/>
      <c r="AL203" s="115"/>
      <c r="AM203" s="115"/>
      <c r="AN203" s="115"/>
      <c r="AO203" s="115"/>
      <c r="AP203" s="115"/>
      <c r="AQ203" s="115"/>
      <c r="AR203" s="115"/>
      <c r="AS203" s="115"/>
      <c r="AT203" s="115"/>
      <c r="AU203" s="115"/>
      <c r="AV203" s="115"/>
      <c r="AW203" s="115"/>
      <c r="AX203" s="115"/>
      <c r="AY203" s="115"/>
      <c r="AZ203" s="115"/>
      <c r="BA203" s="115"/>
      <c r="BB203" s="115"/>
    </row>
    <row r="204" spans="2:54" ht="14.55" customHeight="1" x14ac:dyDescent="0.3">
      <c r="C204" s="47"/>
      <c r="D204" s="47"/>
      <c r="E204" s="47"/>
      <c r="F204" s="47"/>
      <c r="G204" s="47"/>
      <c r="H204" s="47"/>
      <c r="I204" s="47"/>
      <c r="J204" s="47"/>
      <c r="K204" s="47"/>
      <c r="L204" s="47"/>
      <c r="M204" s="47"/>
      <c r="N204" s="47"/>
      <c r="O204" s="47"/>
      <c r="P204" s="47"/>
      <c r="Q204" s="47"/>
      <c r="R204" s="47"/>
      <c r="S204" s="47"/>
      <c r="T204" s="47"/>
      <c r="U204" s="47"/>
      <c r="V204" s="47"/>
      <c r="W204" s="47"/>
      <c r="X204" s="47"/>
      <c r="Y204" s="47"/>
      <c r="Z204" s="47"/>
      <c r="AA204" s="47"/>
      <c r="AB204" s="47"/>
      <c r="AC204" s="115"/>
      <c r="AD204" s="115"/>
      <c r="AE204" s="115"/>
      <c r="AF204" s="115"/>
      <c r="AG204" s="115"/>
      <c r="AH204" s="115"/>
      <c r="AI204" s="115"/>
      <c r="AJ204" s="115"/>
      <c r="AK204" s="115"/>
      <c r="AL204" s="115"/>
      <c r="AM204" s="115"/>
      <c r="AN204" s="115"/>
      <c r="AO204" s="115"/>
      <c r="AP204" s="115"/>
      <c r="AQ204" s="115"/>
      <c r="AR204" s="115"/>
      <c r="AS204" s="115"/>
      <c r="AT204" s="115"/>
      <c r="AU204" s="115"/>
      <c r="AV204" s="115"/>
      <c r="AW204" s="115"/>
      <c r="AX204" s="115"/>
      <c r="AY204" s="115"/>
      <c r="AZ204" s="115"/>
      <c r="BA204" s="115"/>
      <c r="BB204" s="115"/>
    </row>
    <row r="205" spans="2:54" ht="14.55" customHeight="1" x14ac:dyDescent="0.3">
      <c r="C205" s="47"/>
      <c r="D205" s="47"/>
      <c r="E205" s="47"/>
      <c r="F205" s="47"/>
      <c r="G205" s="47"/>
      <c r="H205" s="47"/>
      <c r="I205" s="47"/>
      <c r="J205" s="47"/>
      <c r="K205" s="47"/>
      <c r="L205" s="47"/>
      <c r="M205" s="47"/>
      <c r="N205" s="47"/>
      <c r="O205" s="47"/>
      <c r="P205" s="47"/>
      <c r="Q205" s="47"/>
      <c r="R205" s="47"/>
      <c r="S205" s="47"/>
      <c r="T205" s="47"/>
      <c r="U205" s="47"/>
      <c r="V205" s="47"/>
      <c r="W205" s="47"/>
      <c r="X205" s="47"/>
      <c r="Y205" s="47"/>
      <c r="Z205" s="47"/>
      <c r="AA205" s="47"/>
      <c r="AB205" s="47"/>
      <c r="AC205" s="115"/>
      <c r="AD205" s="115"/>
      <c r="AE205" s="115"/>
      <c r="AF205" s="115"/>
      <c r="AG205" s="115"/>
      <c r="AH205" s="115"/>
      <c r="AI205" s="115"/>
      <c r="AJ205" s="115"/>
      <c r="AK205" s="115"/>
      <c r="AL205" s="115"/>
      <c r="AM205" s="115"/>
      <c r="AN205" s="115"/>
      <c r="AO205" s="115"/>
      <c r="AP205" s="115"/>
      <c r="AQ205" s="115"/>
      <c r="AR205" s="115"/>
      <c r="AS205" s="115"/>
      <c r="AT205" s="115"/>
      <c r="AU205" s="115"/>
      <c r="AV205" s="115"/>
      <c r="AW205" s="115"/>
      <c r="AX205" s="115"/>
      <c r="AY205" s="115"/>
      <c r="AZ205" s="115"/>
      <c r="BA205" s="115"/>
      <c r="BB205" s="115"/>
    </row>
    <row r="206" spans="2:54" ht="14.55" customHeight="1" x14ac:dyDescent="0.3">
      <c r="C206" s="47"/>
      <c r="D206" s="47"/>
      <c r="E206" s="47"/>
      <c r="F206" s="47"/>
      <c r="G206" s="47"/>
      <c r="H206" s="47"/>
      <c r="I206" s="47"/>
      <c r="J206" s="47"/>
      <c r="K206" s="47"/>
      <c r="L206" s="47"/>
      <c r="M206" s="47"/>
      <c r="N206" s="47"/>
      <c r="O206" s="47"/>
      <c r="P206" s="47"/>
      <c r="Q206" s="47"/>
      <c r="R206" s="47"/>
      <c r="S206" s="47"/>
      <c r="T206" s="47"/>
      <c r="U206" s="47"/>
      <c r="V206" s="47"/>
      <c r="W206" s="47"/>
      <c r="X206" s="47"/>
      <c r="Y206" s="47"/>
      <c r="Z206" s="47"/>
      <c r="AA206" s="47"/>
      <c r="AB206" s="47"/>
      <c r="AC206" s="115"/>
      <c r="AD206" s="115"/>
      <c r="AE206" s="115"/>
      <c r="AF206" s="115"/>
      <c r="AG206" s="115"/>
      <c r="AH206" s="115"/>
      <c r="AI206" s="115"/>
      <c r="AJ206" s="115"/>
      <c r="AK206" s="115"/>
      <c r="AL206" s="115"/>
      <c r="AM206" s="115"/>
      <c r="AN206" s="115"/>
      <c r="AO206" s="115"/>
      <c r="AP206" s="115"/>
      <c r="AQ206" s="115"/>
      <c r="AR206" s="115"/>
      <c r="AS206" s="115"/>
      <c r="AT206" s="115"/>
      <c r="AU206" s="115"/>
      <c r="AV206" s="115"/>
      <c r="AW206" s="115"/>
      <c r="AX206" s="115"/>
      <c r="AY206" s="115"/>
      <c r="AZ206" s="115"/>
      <c r="BA206" s="115"/>
      <c r="BB206" s="115"/>
    </row>
    <row r="207" spans="2:54" ht="14.55" customHeight="1" x14ac:dyDescent="0.3">
      <c r="C207" s="47"/>
      <c r="D207" s="47"/>
      <c r="E207" s="47"/>
      <c r="F207" s="47"/>
      <c r="G207" s="47"/>
      <c r="H207" s="47"/>
      <c r="I207" s="47"/>
      <c r="J207" s="47"/>
      <c r="K207" s="47"/>
      <c r="L207" s="47"/>
      <c r="M207" s="47"/>
      <c r="N207" s="47"/>
      <c r="O207" s="47"/>
      <c r="P207" s="47"/>
      <c r="Q207" s="47"/>
      <c r="R207" s="47"/>
      <c r="S207" s="47"/>
      <c r="T207" s="47"/>
      <c r="U207" s="47"/>
      <c r="V207" s="47"/>
      <c r="W207" s="47"/>
      <c r="X207" s="47"/>
      <c r="Y207" s="47"/>
      <c r="Z207" s="47"/>
      <c r="AA207" s="47"/>
      <c r="AB207" s="47"/>
      <c r="AC207" s="115"/>
      <c r="AD207" s="115"/>
      <c r="AE207" s="115"/>
      <c r="AF207" s="115"/>
      <c r="AG207" s="115"/>
      <c r="AH207" s="115"/>
      <c r="AI207" s="115"/>
      <c r="AJ207" s="115"/>
      <c r="AK207" s="115"/>
      <c r="AL207" s="115"/>
      <c r="AM207" s="115"/>
      <c r="AN207" s="115"/>
      <c r="AO207" s="115"/>
      <c r="AP207" s="115"/>
      <c r="AQ207" s="115"/>
      <c r="AR207" s="115"/>
      <c r="AS207" s="115"/>
      <c r="AT207" s="115"/>
      <c r="AU207" s="115"/>
      <c r="AV207" s="115"/>
      <c r="AW207" s="115"/>
      <c r="AX207" s="115"/>
      <c r="AY207" s="115"/>
      <c r="AZ207" s="115"/>
      <c r="BA207" s="115"/>
      <c r="BB207" s="115"/>
    </row>
    <row r="208" spans="2:54" ht="14.55" customHeight="1" x14ac:dyDescent="0.3">
      <c r="C208" s="47"/>
      <c r="D208" s="47"/>
      <c r="E208" s="47"/>
      <c r="F208" s="47"/>
      <c r="G208" s="47"/>
      <c r="H208" s="47"/>
      <c r="I208" s="47"/>
      <c r="J208" s="47"/>
      <c r="K208" s="47"/>
      <c r="L208" s="47"/>
      <c r="M208" s="47"/>
      <c r="N208" s="47"/>
      <c r="O208" s="47"/>
      <c r="P208" s="47"/>
      <c r="Q208" s="47"/>
      <c r="R208" s="47"/>
      <c r="S208" s="47"/>
      <c r="T208" s="47"/>
      <c r="U208" s="47"/>
      <c r="V208" s="47"/>
      <c r="W208" s="47"/>
      <c r="X208" s="47"/>
      <c r="Y208" s="47"/>
      <c r="Z208" s="47"/>
      <c r="AA208" s="47"/>
      <c r="AB208" s="47"/>
      <c r="AC208" s="115"/>
      <c r="AD208" s="115"/>
      <c r="AE208" s="115"/>
      <c r="AF208" s="115"/>
      <c r="AG208" s="115"/>
      <c r="AH208" s="115"/>
      <c r="AI208" s="115"/>
      <c r="AJ208" s="115"/>
      <c r="AK208" s="115"/>
      <c r="AL208" s="115"/>
      <c r="AM208" s="115"/>
      <c r="AN208" s="115"/>
      <c r="AO208" s="115"/>
      <c r="AP208" s="115"/>
      <c r="AQ208" s="115"/>
      <c r="AR208" s="115"/>
      <c r="AS208" s="115"/>
      <c r="AT208" s="115"/>
      <c r="AU208" s="115"/>
      <c r="AV208" s="115"/>
      <c r="AW208" s="115"/>
      <c r="AX208" s="115"/>
      <c r="AY208" s="115"/>
      <c r="AZ208" s="115"/>
      <c r="BA208" s="115"/>
      <c r="BB208" s="115"/>
    </row>
    <row r="209" spans="3:54" ht="14.55" customHeight="1" x14ac:dyDescent="0.3">
      <c r="C209" s="47"/>
      <c r="D209" s="47"/>
      <c r="E209" s="47"/>
      <c r="F209" s="47"/>
      <c r="G209" s="47"/>
      <c r="H209" s="47"/>
      <c r="I209" s="47"/>
      <c r="J209" s="47"/>
      <c r="K209" s="47"/>
      <c r="L209" s="47"/>
      <c r="M209" s="47"/>
      <c r="N209" s="47"/>
      <c r="O209" s="47"/>
      <c r="P209" s="47"/>
      <c r="Q209" s="47"/>
      <c r="R209" s="47"/>
      <c r="S209" s="47"/>
      <c r="T209" s="47"/>
      <c r="U209" s="47"/>
      <c r="V209" s="47"/>
      <c r="W209" s="47"/>
      <c r="X209" s="47"/>
      <c r="Y209" s="47"/>
      <c r="Z209" s="47"/>
      <c r="AA209" s="47"/>
      <c r="AB209" s="47"/>
      <c r="AC209" s="115"/>
      <c r="AD209" s="115"/>
      <c r="AE209" s="115"/>
      <c r="AF209" s="115"/>
      <c r="AG209" s="115"/>
      <c r="AH209" s="115"/>
      <c r="AI209" s="115"/>
      <c r="AJ209" s="115"/>
      <c r="AK209" s="115"/>
      <c r="AL209" s="115"/>
      <c r="AM209" s="115"/>
      <c r="AN209" s="115"/>
      <c r="AO209" s="115"/>
      <c r="AP209" s="115"/>
      <c r="AQ209" s="115"/>
      <c r="AR209" s="115"/>
      <c r="AS209" s="115"/>
      <c r="AT209" s="115"/>
      <c r="AU209" s="115"/>
      <c r="AV209" s="115"/>
      <c r="AW209" s="115"/>
      <c r="AX209" s="115"/>
      <c r="AY209" s="115"/>
      <c r="AZ209" s="115"/>
      <c r="BA209" s="115"/>
      <c r="BB209" s="115"/>
    </row>
    <row r="210" spans="3:54" ht="14.55" customHeight="1" x14ac:dyDescent="0.3">
      <c r="C210" s="47"/>
      <c r="D210" s="47"/>
      <c r="E210" s="47"/>
      <c r="F210" s="47"/>
      <c r="G210" s="47"/>
      <c r="H210" s="47"/>
      <c r="I210" s="47"/>
      <c r="J210" s="47"/>
      <c r="K210" s="47"/>
      <c r="L210" s="47"/>
      <c r="M210" s="47"/>
      <c r="N210" s="47"/>
      <c r="O210" s="47"/>
      <c r="P210" s="47"/>
      <c r="Q210" s="47"/>
      <c r="R210" s="47"/>
      <c r="S210" s="47"/>
      <c r="T210" s="47"/>
      <c r="U210" s="47"/>
      <c r="V210" s="47"/>
      <c r="W210" s="47"/>
      <c r="X210" s="47"/>
      <c r="Y210" s="47"/>
      <c r="Z210" s="47"/>
      <c r="AA210" s="47"/>
      <c r="AB210" s="47"/>
      <c r="AC210" s="115"/>
      <c r="AD210" s="115"/>
      <c r="AE210" s="115"/>
      <c r="AF210" s="115"/>
      <c r="AG210" s="115"/>
      <c r="AH210" s="115"/>
      <c r="AI210" s="115"/>
      <c r="AJ210" s="115"/>
      <c r="AK210" s="115"/>
      <c r="AL210" s="115"/>
      <c r="AM210" s="115"/>
      <c r="AN210" s="115"/>
      <c r="AO210" s="115"/>
      <c r="AP210" s="115"/>
      <c r="AQ210" s="115"/>
      <c r="AR210" s="115"/>
      <c r="AS210" s="115"/>
      <c r="AT210" s="115"/>
      <c r="AU210" s="115"/>
      <c r="AV210" s="115"/>
      <c r="AW210" s="115"/>
      <c r="AX210" s="115"/>
      <c r="AY210" s="115"/>
      <c r="AZ210" s="115"/>
      <c r="BA210" s="115"/>
      <c r="BB210" s="115"/>
    </row>
    <row r="211" spans="3:54" ht="14.55" customHeight="1" x14ac:dyDescent="0.3">
      <c r="C211" s="47"/>
      <c r="D211" s="47"/>
      <c r="E211" s="47"/>
      <c r="F211" s="47"/>
      <c r="G211" s="47"/>
      <c r="H211" s="47"/>
      <c r="I211" s="47"/>
      <c r="J211" s="47"/>
      <c r="K211" s="47"/>
      <c r="L211" s="47"/>
      <c r="M211" s="47"/>
      <c r="N211" s="47"/>
      <c r="O211" s="47"/>
      <c r="P211" s="47"/>
      <c r="Q211" s="47"/>
      <c r="R211" s="47"/>
      <c r="S211" s="47"/>
      <c r="T211" s="47"/>
      <c r="U211" s="47"/>
      <c r="V211" s="47"/>
      <c r="W211" s="47"/>
      <c r="X211" s="47"/>
      <c r="Y211" s="47"/>
      <c r="Z211" s="47"/>
      <c r="AA211" s="47"/>
      <c r="AB211" s="47"/>
      <c r="AC211" s="115"/>
      <c r="AD211" s="115"/>
      <c r="AE211" s="115"/>
      <c r="AF211" s="115"/>
      <c r="AG211" s="115"/>
      <c r="AH211" s="115"/>
      <c r="AI211" s="115"/>
      <c r="AJ211" s="115"/>
      <c r="AK211" s="115"/>
      <c r="AL211" s="115"/>
      <c r="AM211" s="115"/>
      <c r="AN211" s="115"/>
      <c r="AO211" s="115"/>
      <c r="AP211" s="115"/>
      <c r="AQ211" s="115"/>
      <c r="AR211" s="115"/>
      <c r="AS211" s="115"/>
      <c r="AT211" s="115"/>
      <c r="AU211" s="115"/>
      <c r="AV211" s="115"/>
      <c r="AW211" s="115"/>
      <c r="AX211" s="115"/>
      <c r="AY211" s="115"/>
      <c r="AZ211" s="115"/>
      <c r="BA211" s="115"/>
      <c r="BB211" s="115"/>
    </row>
    <row r="212" spans="3:54" ht="14.55" customHeight="1" x14ac:dyDescent="0.3">
      <c r="C212" s="47"/>
      <c r="D212" s="47"/>
      <c r="E212" s="47"/>
      <c r="F212" s="47"/>
      <c r="G212" s="47"/>
      <c r="H212" s="47"/>
      <c r="I212" s="47"/>
      <c r="J212" s="47"/>
      <c r="K212" s="47"/>
      <c r="L212" s="47"/>
      <c r="M212" s="47"/>
      <c r="N212" s="47"/>
      <c r="O212" s="47"/>
      <c r="P212" s="47"/>
      <c r="Q212" s="47"/>
      <c r="R212" s="47"/>
      <c r="S212" s="47"/>
      <c r="T212" s="47"/>
      <c r="U212" s="47"/>
      <c r="V212" s="47"/>
      <c r="W212" s="47"/>
      <c r="X212" s="47"/>
      <c r="Y212" s="47"/>
      <c r="Z212" s="47"/>
      <c r="AA212" s="47"/>
      <c r="AB212" s="47"/>
      <c r="AC212" s="115"/>
      <c r="AD212" s="115"/>
      <c r="AE212" s="115"/>
      <c r="AF212" s="115"/>
      <c r="AG212" s="115"/>
      <c r="AH212" s="115"/>
      <c r="AI212" s="115"/>
      <c r="AJ212" s="115"/>
      <c r="AK212" s="115"/>
      <c r="AL212" s="115"/>
      <c r="AM212" s="115"/>
      <c r="AN212" s="115"/>
      <c r="AO212" s="115"/>
      <c r="AP212" s="115"/>
      <c r="AQ212" s="115"/>
      <c r="AR212" s="115"/>
      <c r="AS212" s="115"/>
      <c r="AT212" s="115"/>
      <c r="AU212" s="115"/>
      <c r="AV212" s="115"/>
      <c r="AW212" s="115"/>
      <c r="AX212" s="115"/>
      <c r="AY212" s="115"/>
      <c r="AZ212" s="115"/>
      <c r="BA212" s="115"/>
      <c r="BB212" s="115"/>
    </row>
    <row r="213" spans="3:54" ht="14.55" customHeight="1" x14ac:dyDescent="0.3">
      <c r="C213" s="47"/>
      <c r="D213" s="47"/>
      <c r="E213" s="47"/>
      <c r="F213" s="47"/>
      <c r="G213" s="47"/>
      <c r="H213" s="47"/>
      <c r="I213" s="47"/>
      <c r="J213" s="47"/>
      <c r="K213" s="47"/>
      <c r="L213" s="47"/>
      <c r="M213" s="47"/>
      <c r="N213" s="47"/>
      <c r="O213" s="47"/>
      <c r="P213" s="47"/>
      <c r="Q213" s="47"/>
      <c r="R213" s="47"/>
      <c r="S213" s="47"/>
      <c r="T213" s="47"/>
      <c r="U213" s="47"/>
      <c r="V213" s="47"/>
      <c r="W213" s="47"/>
      <c r="X213" s="47"/>
      <c r="Y213" s="47"/>
      <c r="Z213" s="47"/>
      <c r="AA213" s="47"/>
      <c r="AB213" s="47"/>
      <c r="AC213" s="115"/>
      <c r="AD213" s="115"/>
      <c r="AE213" s="115"/>
      <c r="AF213" s="115"/>
      <c r="AG213" s="115"/>
      <c r="AH213" s="115"/>
      <c r="AI213" s="115"/>
      <c r="AJ213" s="115"/>
      <c r="AK213" s="115"/>
      <c r="AL213" s="115"/>
      <c r="AM213" s="115"/>
      <c r="AN213" s="115"/>
      <c r="AO213" s="115"/>
      <c r="AP213" s="115"/>
      <c r="AQ213" s="115"/>
      <c r="AR213" s="115"/>
      <c r="AS213" s="115"/>
      <c r="AT213" s="115"/>
      <c r="AU213" s="115"/>
      <c r="AV213" s="115"/>
      <c r="AW213" s="115"/>
      <c r="AX213" s="115"/>
      <c r="AY213" s="115"/>
      <c r="AZ213" s="115"/>
      <c r="BA213" s="115"/>
      <c r="BB213" s="115"/>
    </row>
    <row r="214" spans="3:54" ht="14.55" customHeight="1" x14ac:dyDescent="0.3">
      <c r="C214" s="47"/>
      <c r="D214" s="47"/>
      <c r="E214" s="47"/>
      <c r="F214" s="47"/>
      <c r="G214" s="47"/>
      <c r="H214" s="47"/>
      <c r="I214" s="47"/>
      <c r="J214" s="47"/>
      <c r="K214" s="47"/>
      <c r="L214" s="47"/>
      <c r="M214" s="47"/>
      <c r="N214" s="47"/>
      <c r="O214" s="47"/>
      <c r="P214" s="47"/>
      <c r="Q214" s="47"/>
      <c r="R214" s="47"/>
      <c r="S214" s="47"/>
      <c r="T214" s="47"/>
      <c r="U214" s="47"/>
      <c r="V214" s="47"/>
      <c r="W214" s="47"/>
      <c r="X214" s="47"/>
      <c r="Y214" s="47"/>
      <c r="Z214" s="47"/>
      <c r="AA214" s="47"/>
      <c r="AB214" s="47"/>
      <c r="AC214" s="115"/>
      <c r="AD214" s="115"/>
      <c r="AE214" s="115"/>
      <c r="AF214" s="115"/>
      <c r="AG214" s="115"/>
      <c r="AH214" s="115"/>
      <c r="AI214" s="115"/>
      <c r="AJ214" s="115"/>
      <c r="AK214" s="115"/>
      <c r="AL214" s="115"/>
      <c r="AM214" s="115"/>
      <c r="AN214" s="115"/>
      <c r="AO214" s="115"/>
      <c r="AP214" s="115"/>
      <c r="AQ214" s="115"/>
      <c r="AR214" s="115"/>
      <c r="AS214" s="115"/>
      <c r="AT214" s="115"/>
      <c r="AU214" s="115"/>
      <c r="AV214" s="115"/>
      <c r="AW214" s="115"/>
      <c r="AX214" s="115"/>
      <c r="AY214" s="115"/>
      <c r="AZ214" s="115"/>
      <c r="BA214" s="115"/>
      <c r="BB214" s="115"/>
    </row>
    <row r="215" spans="3:54" ht="14.55" customHeight="1" x14ac:dyDescent="0.3">
      <c r="C215" s="47"/>
      <c r="D215" s="47"/>
      <c r="E215" s="47"/>
      <c r="F215" s="47"/>
      <c r="G215" s="47"/>
      <c r="H215" s="47"/>
      <c r="I215" s="47"/>
      <c r="J215" s="47"/>
      <c r="K215" s="47"/>
      <c r="L215" s="47"/>
      <c r="M215" s="47"/>
      <c r="N215" s="47"/>
      <c r="O215" s="47"/>
      <c r="P215" s="47"/>
      <c r="Q215" s="47"/>
      <c r="R215" s="47"/>
      <c r="S215" s="47"/>
      <c r="T215" s="47"/>
      <c r="U215" s="47"/>
      <c r="V215" s="47"/>
      <c r="W215" s="47"/>
      <c r="X215" s="47"/>
      <c r="Y215" s="47"/>
      <c r="Z215" s="47"/>
      <c r="AA215" s="47"/>
      <c r="AB215" s="47"/>
      <c r="AC215" s="115"/>
      <c r="AD215" s="115"/>
      <c r="AE215" s="115"/>
      <c r="AF215" s="115"/>
      <c r="AG215" s="115"/>
      <c r="AH215" s="115"/>
      <c r="AI215" s="115"/>
      <c r="AJ215" s="115"/>
      <c r="AK215" s="115"/>
      <c r="AL215" s="115"/>
      <c r="AM215" s="115"/>
      <c r="AN215" s="115"/>
      <c r="AO215" s="115"/>
      <c r="AP215" s="115"/>
      <c r="AQ215" s="115"/>
      <c r="AR215" s="115"/>
      <c r="AS215" s="115"/>
      <c r="AT215" s="115"/>
      <c r="AU215" s="115"/>
      <c r="AV215" s="115"/>
      <c r="AW215" s="115"/>
      <c r="AX215" s="115"/>
      <c r="AY215" s="115"/>
      <c r="AZ215" s="115"/>
      <c r="BA215" s="115"/>
      <c r="BB215" s="115"/>
    </row>
    <row r="216" spans="3:54" ht="14.55" customHeight="1" x14ac:dyDescent="0.3">
      <c r="C216" s="47"/>
      <c r="D216" s="47"/>
      <c r="E216" s="47"/>
      <c r="F216" s="47"/>
      <c r="G216" s="47"/>
      <c r="H216" s="47"/>
      <c r="I216" s="47"/>
      <c r="J216" s="47"/>
      <c r="K216" s="47"/>
      <c r="L216" s="47"/>
      <c r="M216" s="47"/>
      <c r="N216" s="47"/>
      <c r="O216" s="47"/>
      <c r="P216" s="47"/>
      <c r="Q216" s="47"/>
      <c r="R216" s="47"/>
      <c r="S216" s="47"/>
      <c r="T216" s="47"/>
      <c r="U216" s="47"/>
      <c r="V216" s="47"/>
      <c r="W216" s="47"/>
      <c r="X216" s="47"/>
      <c r="Y216" s="47"/>
      <c r="Z216" s="47"/>
      <c r="AA216" s="47"/>
      <c r="AB216" s="47"/>
      <c r="AC216" s="115"/>
      <c r="AD216" s="115"/>
      <c r="AE216" s="115"/>
      <c r="AF216" s="115"/>
      <c r="AG216" s="115"/>
      <c r="AH216" s="115"/>
      <c r="AI216" s="115"/>
      <c r="AJ216" s="115"/>
      <c r="AK216" s="115"/>
      <c r="AL216" s="115"/>
      <c r="AM216" s="115"/>
      <c r="AN216" s="115"/>
      <c r="AO216" s="115"/>
      <c r="AP216" s="115"/>
      <c r="AQ216" s="115"/>
      <c r="AR216" s="115"/>
      <c r="AS216" s="115"/>
      <c r="AT216" s="115"/>
      <c r="AU216" s="115"/>
      <c r="AV216" s="115"/>
      <c r="AW216" s="115"/>
      <c r="AX216" s="115"/>
      <c r="AY216" s="115"/>
      <c r="AZ216" s="115"/>
      <c r="BA216" s="115"/>
      <c r="BB216" s="115"/>
    </row>
    <row r="217" spans="3:54" ht="14.55" customHeight="1" x14ac:dyDescent="0.3">
      <c r="C217" s="47"/>
      <c r="D217" s="47"/>
      <c r="E217" s="47"/>
      <c r="F217" s="47"/>
      <c r="G217" s="47"/>
      <c r="H217" s="47"/>
      <c r="I217" s="47"/>
      <c r="J217" s="47"/>
      <c r="K217" s="47"/>
      <c r="L217" s="47"/>
      <c r="M217" s="47"/>
      <c r="N217" s="47"/>
      <c r="O217" s="47"/>
      <c r="P217" s="47"/>
      <c r="Q217" s="47"/>
      <c r="R217" s="47"/>
      <c r="S217" s="47"/>
      <c r="T217" s="47"/>
      <c r="U217" s="47"/>
      <c r="V217" s="47"/>
      <c r="W217" s="47"/>
      <c r="X217" s="47"/>
      <c r="Y217" s="47"/>
      <c r="Z217" s="47"/>
      <c r="AA217" s="47"/>
      <c r="AB217" s="47"/>
      <c r="AC217" s="115"/>
      <c r="AD217" s="115"/>
      <c r="AE217" s="115"/>
      <c r="AF217" s="115"/>
      <c r="AG217" s="115"/>
      <c r="AH217" s="115"/>
      <c r="AI217" s="115"/>
      <c r="AJ217" s="115"/>
      <c r="AK217" s="115"/>
      <c r="AL217" s="115"/>
      <c r="AM217" s="115"/>
      <c r="AN217" s="115"/>
      <c r="AO217" s="115"/>
      <c r="AP217" s="115"/>
      <c r="AQ217" s="115"/>
      <c r="AR217" s="115"/>
      <c r="AS217" s="115"/>
      <c r="AT217" s="115"/>
      <c r="AU217" s="115"/>
      <c r="AV217" s="115"/>
      <c r="AW217" s="115"/>
      <c r="AX217" s="115"/>
      <c r="AY217" s="115"/>
      <c r="AZ217" s="115"/>
      <c r="BA217" s="115"/>
      <c r="BB217" s="115"/>
    </row>
  </sheetData>
  <phoneticPr fontId="19" type="noConversion"/>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L43"/>
  <sheetViews>
    <sheetView zoomScale="85" zoomScaleNormal="85" workbookViewId="0">
      <pane xSplit="2" ySplit="3" topLeftCell="AR4" activePane="bottomRight" state="frozen"/>
      <selection activeCell="BB14" sqref="BB14"/>
      <selection pane="topRight" activeCell="BB14" sqref="BB14"/>
      <selection pane="bottomLeft" activeCell="BB14" sqref="BB14"/>
      <selection pane="bottomRight" activeCell="BG8" sqref="BG8"/>
    </sheetView>
  </sheetViews>
  <sheetFormatPr defaultColWidth="9.21875" defaultRowHeight="13.2" x14ac:dyDescent="0.25"/>
  <cols>
    <col min="1" max="1" width="2.21875" style="38" customWidth="1"/>
    <col min="2" max="2" width="35.5546875" style="38" bestFit="1" customWidth="1"/>
    <col min="3" max="28" width="9.5546875" style="38" customWidth="1"/>
    <col min="29" max="38" width="9.5546875" style="106" customWidth="1"/>
    <col min="39" max="39" width="10.44140625" style="106" bestFit="1" customWidth="1"/>
    <col min="40" max="40" width="9.77734375" style="106" bestFit="1" customWidth="1"/>
    <col min="41" max="43" width="10.44140625" style="106" bestFit="1" customWidth="1"/>
    <col min="44" max="44" width="9.77734375" style="106" bestFit="1" customWidth="1"/>
    <col min="45" max="47" width="10.44140625" style="106" bestFit="1" customWidth="1"/>
    <col min="48" max="54" width="9.77734375" style="106" bestFit="1" customWidth="1"/>
    <col min="55" max="55" width="6.5546875" style="38" customWidth="1"/>
    <col min="56" max="56" width="30.5546875" style="38" customWidth="1"/>
    <col min="57" max="16384" width="9.21875" style="38"/>
  </cols>
  <sheetData>
    <row r="1" spans="1:64" s="37" customFormat="1" x14ac:dyDescent="0.25">
      <c r="A1" s="35" t="s">
        <v>193</v>
      </c>
      <c r="B1" s="35"/>
      <c r="C1" s="36" t="str">
        <f>'Profit and Loss Highlights'!C$1</f>
        <v>1Q12</v>
      </c>
      <c r="D1" s="36" t="str">
        <f>'Profit and Loss Highlights'!D$1</f>
        <v>2Q12</v>
      </c>
      <c r="E1" s="36" t="str">
        <f>'Profit and Loss Highlights'!E$1</f>
        <v>3Q12</v>
      </c>
      <c r="F1" s="36" t="str">
        <f>'Profit and Loss Highlights'!F$1</f>
        <v>4Q12</v>
      </c>
      <c r="G1" s="36" t="str">
        <f>'Profit and Loss Highlights'!G$1</f>
        <v>1Q13</v>
      </c>
      <c r="H1" s="36" t="str">
        <f>'Profit and Loss Highlights'!H$1</f>
        <v>2Q13</v>
      </c>
      <c r="I1" s="36" t="str">
        <f>'Profit and Loss Highlights'!I$1</f>
        <v>3Q13</v>
      </c>
      <c r="J1" s="36" t="str">
        <f>'Profit and Loss Highlights'!J$1</f>
        <v>4Q13</v>
      </c>
      <c r="K1" s="36" t="str">
        <f>'Profit and Loss Highlights'!K$1</f>
        <v>1Q14</v>
      </c>
      <c r="L1" s="36" t="str">
        <f>'Profit and Loss Highlights'!L$1</f>
        <v>2Q14</v>
      </c>
      <c r="M1" s="36" t="str">
        <f>'Profit and Loss Highlights'!M$1</f>
        <v>3Q14</v>
      </c>
      <c r="N1" s="36" t="str">
        <f>'Profit and Loss Highlights'!N$1</f>
        <v>4Q14</v>
      </c>
      <c r="O1" s="36" t="str">
        <f>'Profit and Loss Highlights'!O$1</f>
        <v>1Q15</v>
      </c>
      <c r="P1" s="36" t="str">
        <f>'Profit and Loss Highlights'!P$1</f>
        <v>2Q15</v>
      </c>
      <c r="Q1" s="36" t="str">
        <f>'Profit and Loss Highlights'!Q$1</f>
        <v>3Q15</v>
      </c>
      <c r="R1" s="36" t="str">
        <f>'Profit and Loss Highlights'!R$1</f>
        <v>4Q15</v>
      </c>
      <c r="S1" s="36" t="str">
        <f>'Profit and Loss Highlights'!S$1</f>
        <v>1Q16</v>
      </c>
      <c r="T1" s="36" t="str">
        <f>'Profit and Loss Highlights'!T$1</f>
        <v>2Q16</v>
      </c>
      <c r="U1" s="36" t="str">
        <f>'Profit and Loss Highlights'!U$1</f>
        <v>3Q16</v>
      </c>
      <c r="V1" s="36" t="str">
        <f>'Profit and Loss Highlights'!V$1</f>
        <v>4Q16</v>
      </c>
      <c r="W1" s="36" t="str">
        <f>'Profit and Loss Highlights'!W$1</f>
        <v>1Q17</v>
      </c>
      <c r="X1" s="36" t="str">
        <f>'Profit and Loss Highlights'!X$1</f>
        <v>2Q17</v>
      </c>
      <c r="Y1" s="36" t="str">
        <f>'Profit and Loss Highlights'!Y$1</f>
        <v>3Q17</v>
      </c>
      <c r="Z1" s="36" t="str">
        <f>'Profit and Loss Highlights'!Z$1</f>
        <v>4Q17</v>
      </c>
      <c r="AA1" s="36" t="str">
        <f>'Profit and Loss Highlights'!AA$1</f>
        <v>1Q18</v>
      </c>
      <c r="AB1" s="36" t="str">
        <f>'Profit and Loss Highlights'!AB$1</f>
        <v>2Q18</v>
      </c>
      <c r="AC1" s="36" t="str">
        <f>'Profit and Loss Highlights'!AC$1</f>
        <v>3Q18</v>
      </c>
      <c r="AD1" s="36" t="str">
        <f>'Profit and Loss Highlights'!AD$1</f>
        <v>4Q18</v>
      </c>
      <c r="AE1" s="36" t="str">
        <f>'Profit and Loss Highlights'!AE$1</f>
        <v>1Q19</v>
      </c>
      <c r="AF1" s="36" t="str">
        <f>'Profit and Loss Highlights'!AF$1</f>
        <v>2Q19</v>
      </c>
      <c r="AG1" s="36" t="str">
        <f>'Profit and Loss Highlights'!AG$1</f>
        <v>3Q19</v>
      </c>
      <c r="AH1" s="36" t="str">
        <f>'Profit and Loss Highlights'!AH$1</f>
        <v>4Q19</v>
      </c>
      <c r="AI1" s="36" t="str">
        <f>'Profit and Loss Highlights'!AI$1</f>
        <v>1Q20</v>
      </c>
      <c r="AJ1" s="36" t="str">
        <f>'Profit and Loss Highlights'!AJ$1</f>
        <v>2Q20</v>
      </c>
      <c r="AK1" s="36" t="str">
        <f>'Profit and Loss Highlights'!AK$1</f>
        <v>3Q20</v>
      </c>
      <c r="AL1" s="36" t="str">
        <f>'Profit and Loss Highlights'!AL$1</f>
        <v>4Q20</v>
      </c>
      <c r="AM1" s="36" t="str">
        <f>'Profit and Loss Highlights'!AM$1</f>
        <v>1Q21</v>
      </c>
      <c r="AN1" s="36" t="str">
        <f>'Profit and Loss Highlights'!AN$1</f>
        <v>2Q21</v>
      </c>
      <c r="AO1" s="36" t="str">
        <f>'Profit and Loss Highlights'!AO$1</f>
        <v>3Q21</v>
      </c>
      <c r="AP1" s="36" t="str">
        <f>'Profit and Loss Highlights'!AP$1</f>
        <v>4Q21</v>
      </c>
      <c r="AQ1" s="36" t="str">
        <f>'Profit and Loss Highlights'!AQ$1</f>
        <v>1Q22</v>
      </c>
      <c r="AR1" s="36" t="str">
        <f>'Profit and Loss Highlights'!AR$1</f>
        <v>2Q22</v>
      </c>
      <c r="AS1" s="36" t="str">
        <f>'Profit and Loss Highlights'!AS$1</f>
        <v>3Q22</v>
      </c>
      <c r="AT1" s="36" t="str">
        <f>'Profit and Loss Highlights'!AT$1</f>
        <v>4Q22</v>
      </c>
      <c r="AU1" s="36" t="str">
        <f>'Profit and Loss Highlights'!AU$1</f>
        <v>1Q23</v>
      </c>
      <c r="AV1" s="36" t="str">
        <f>'Profit and Loss Highlights'!AV$1</f>
        <v>2Q23</v>
      </c>
      <c r="AW1" s="36" t="str">
        <f>'Profit and Loss Highlights'!AW$1</f>
        <v>3Q23</v>
      </c>
      <c r="AX1" s="36" t="str">
        <f>'Profit and Loss Highlights'!AX$1</f>
        <v>4Q23</v>
      </c>
      <c r="AY1" s="36" t="str">
        <f>'Profit and Loss Highlights'!AY$1</f>
        <v>1Q24</v>
      </c>
      <c r="AZ1" s="36" t="str">
        <f>'Profit and Loss Highlights'!AZ$1</f>
        <v>2Q24</v>
      </c>
      <c r="BA1" s="36" t="str">
        <f>'Profit and Loss Highlights'!BA$1</f>
        <v>3Q24</v>
      </c>
      <c r="BB1" s="36" t="str">
        <f>'Profit and Loss Highlights'!BB$1</f>
        <v>4Q24</v>
      </c>
      <c r="BC1" s="35"/>
      <c r="BD1" s="35" t="s">
        <v>18</v>
      </c>
    </row>
    <row r="2" spans="1:64" s="37" customFormat="1" x14ac:dyDescent="0.25">
      <c r="A2" s="35"/>
      <c r="B2" s="35"/>
      <c r="C2" s="269">
        <f>'Profit and Loss Highlights'!C$2</f>
        <v>40999</v>
      </c>
      <c r="D2" s="269">
        <f>'Profit and Loss Highlights'!D$2</f>
        <v>41090</v>
      </c>
      <c r="E2" s="269">
        <f>'Profit and Loss Highlights'!E$2</f>
        <v>41182</v>
      </c>
      <c r="F2" s="269">
        <f>'Profit and Loss Highlights'!F$2</f>
        <v>41274</v>
      </c>
      <c r="G2" s="269">
        <f>'Profit and Loss Highlights'!G$2</f>
        <v>41364</v>
      </c>
      <c r="H2" s="269">
        <f>'Profit and Loss Highlights'!H$2</f>
        <v>41455</v>
      </c>
      <c r="I2" s="269">
        <f>'Profit and Loss Highlights'!I$2</f>
        <v>41547</v>
      </c>
      <c r="J2" s="269">
        <f>'Profit and Loss Highlights'!J$2</f>
        <v>41639</v>
      </c>
      <c r="K2" s="269">
        <f>'Profit and Loss Highlights'!K$2</f>
        <v>41729</v>
      </c>
      <c r="L2" s="269">
        <f>'Profit and Loss Highlights'!L$2</f>
        <v>41820</v>
      </c>
      <c r="M2" s="269">
        <f>'Profit and Loss Highlights'!M$2</f>
        <v>41912</v>
      </c>
      <c r="N2" s="269">
        <f>'Profit and Loss Highlights'!N$2</f>
        <v>42004</v>
      </c>
      <c r="O2" s="269">
        <f>'Profit and Loss Highlights'!O$2</f>
        <v>42094</v>
      </c>
      <c r="P2" s="269">
        <f>'Profit and Loss Highlights'!P$2</f>
        <v>42185</v>
      </c>
      <c r="Q2" s="269">
        <f>'Profit and Loss Highlights'!Q$2</f>
        <v>42277</v>
      </c>
      <c r="R2" s="269">
        <f>'Profit and Loss Highlights'!R$2</f>
        <v>42369</v>
      </c>
      <c r="S2" s="269">
        <f>'Profit and Loss Highlights'!S$2</f>
        <v>42460</v>
      </c>
      <c r="T2" s="269">
        <f>'Profit and Loss Highlights'!T$2</f>
        <v>42551</v>
      </c>
      <c r="U2" s="269">
        <f>'Profit and Loss Highlights'!U$2</f>
        <v>42643</v>
      </c>
      <c r="V2" s="269">
        <f>'Profit and Loss Highlights'!V$2</f>
        <v>42735</v>
      </c>
      <c r="W2" s="269">
        <f>'Profit and Loss Highlights'!W$2</f>
        <v>42825</v>
      </c>
      <c r="X2" s="269">
        <f>'Profit and Loss Highlights'!X$2</f>
        <v>42916</v>
      </c>
      <c r="Y2" s="269">
        <f>'Profit and Loss Highlights'!Y$2</f>
        <v>43008</v>
      </c>
      <c r="Z2" s="269">
        <f>'Profit and Loss Highlights'!Z$2</f>
        <v>43100</v>
      </c>
      <c r="AA2" s="269">
        <f>'Profit and Loss Highlights'!AA$2</f>
        <v>43190</v>
      </c>
      <c r="AB2" s="269">
        <f>'Profit and Loss Highlights'!AB$2</f>
        <v>43281</v>
      </c>
      <c r="AC2" s="269">
        <f>'Profit and Loss Highlights'!AC$2</f>
        <v>43373</v>
      </c>
      <c r="AD2" s="269">
        <f>'Profit and Loss Highlights'!AD$2</f>
        <v>43465</v>
      </c>
      <c r="AE2" s="269">
        <f>'Profit and Loss Highlights'!AE$2</f>
        <v>43555</v>
      </c>
      <c r="AF2" s="269">
        <f>'Profit and Loss Highlights'!AF$2</f>
        <v>43646</v>
      </c>
      <c r="AG2" s="269">
        <f>'Profit and Loss Highlights'!AG$2</f>
        <v>43738</v>
      </c>
      <c r="AH2" s="269">
        <f>'Profit and Loss Highlights'!AH$2</f>
        <v>43830</v>
      </c>
      <c r="AI2" s="269">
        <f>'Profit and Loss Highlights'!AI$2</f>
        <v>43921</v>
      </c>
      <c r="AJ2" s="269">
        <f>'Profit and Loss Highlights'!AJ$2</f>
        <v>44012</v>
      </c>
      <c r="AK2" s="269">
        <f>'Profit and Loss Highlights'!AK$2</f>
        <v>44104</v>
      </c>
      <c r="AL2" s="269">
        <f>'Profit and Loss Highlights'!AL$2</f>
        <v>44196</v>
      </c>
      <c r="AM2" s="269">
        <f>'Profit and Loss Highlights'!AM$2</f>
        <v>44286</v>
      </c>
      <c r="AN2" s="269">
        <f>'Profit and Loss Highlights'!AN$2</f>
        <v>44377</v>
      </c>
      <c r="AO2" s="269">
        <f>'Profit and Loss Highlights'!AO$2</f>
        <v>44469</v>
      </c>
      <c r="AP2" s="269">
        <f>'Profit and Loss Highlights'!AP$2</f>
        <v>44561</v>
      </c>
      <c r="AQ2" s="269">
        <f>'Profit and Loss Highlights'!AQ$2</f>
        <v>44651</v>
      </c>
      <c r="AR2" s="269">
        <f>'Profit and Loss Highlights'!AR$2</f>
        <v>44742</v>
      </c>
      <c r="AS2" s="269">
        <f>'Profit and Loss Highlights'!AS$2</f>
        <v>44834</v>
      </c>
      <c r="AT2" s="269">
        <f>'Profit and Loss Highlights'!AT$2</f>
        <v>44926</v>
      </c>
      <c r="AU2" s="269">
        <f>'Profit and Loss Highlights'!AU$2</f>
        <v>45016</v>
      </c>
      <c r="AV2" s="269">
        <f>'Profit and Loss Highlights'!AV$2</f>
        <v>45107</v>
      </c>
      <c r="AW2" s="269">
        <f>'Profit and Loss Highlights'!AW$2</f>
        <v>45199</v>
      </c>
      <c r="AX2" s="269">
        <f>'Profit and Loss Highlights'!AX$2</f>
        <v>45291</v>
      </c>
      <c r="AY2" s="269">
        <f>'Profit and Loss Highlights'!AY$2</f>
        <v>45382</v>
      </c>
      <c r="AZ2" s="269">
        <f>'Profit and Loss Highlights'!AZ$2</f>
        <v>45473</v>
      </c>
      <c r="BA2" s="269">
        <f>'Profit and Loss Highlights'!BA$2</f>
        <v>45565</v>
      </c>
      <c r="BB2" s="269">
        <f>'Profit and Loss Highlights'!BB$2</f>
        <v>45657</v>
      </c>
      <c r="BC2" s="35"/>
      <c r="BD2" s="35"/>
    </row>
    <row r="3" spans="1:64" x14ac:dyDescent="0.25">
      <c r="B3" s="39"/>
      <c r="C3" s="188"/>
      <c r="D3" s="189"/>
      <c r="E3" s="190"/>
      <c r="F3" s="191"/>
      <c r="G3" s="191"/>
      <c r="H3" s="191"/>
      <c r="I3" s="191"/>
      <c r="J3" s="191"/>
      <c r="K3" s="190"/>
      <c r="L3" s="189"/>
      <c r="M3" s="188"/>
      <c r="N3" s="191"/>
      <c r="O3" s="191"/>
      <c r="P3" s="191"/>
      <c r="Q3" s="190"/>
      <c r="R3" s="189"/>
      <c r="S3" s="188"/>
      <c r="T3" s="192"/>
      <c r="U3" s="192"/>
      <c r="V3" s="192"/>
      <c r="W3" s="192"/>
      <c r="X3" s="192"/>
      <c r="Y3" s="192"/>
      <c r="Z3" s="192"/>
      <c r="AA3" s="192"/>
      <c r="AB3" s="192"/>
      <c r="AC3" s="192"/>
      <c r="AD3" s="192"/>
      <c r="AE3" s="192"/>
      <c r="AF3" s="192"/>
      <c r="AG3" s="192"/>
      <c r="AH3" s="192"/>
      <c r="AI3" s="192"/>
      <c r="AJ3" s="192"/>
      <c r="AK3" s="192"/>
      <c r="AL3" s="192"/>
      <c r="AM3" s="192"/>
      <c r="AN3" s="192"/>
      <c r="AO3" s="192"/>
      <c r="AP3" s="192"/>
      <c r="AQ3" s="192"/>
      <c r="AR3" s="192"/>
      <c r="AS3" s="192"/>
      <c r="AT3" s="192"/>
      <c r="AU3" s="192"/>
      <c r="AV3" s="192"/>
      <c r="AW3" s="192"/>
      <c r="AX3" s="192"/>
      <c r="AY3" s="192"/>
      <c r="AZ3" s="192"/>
      <c r="BA3" s="192"/>
      <c r="BB3" s="192"/>
      <c r="BC3" s="192"/>
    </row>
    <row r="4" spans="1:64" x14ac:dyDescent="0.25">
      <c r="B4" s="193"/>
      <c r="C4" s="194"/>
      <c r="D4" s="194"/>
      <c r="E4" s="194"/>
      <c r="F4" s="194"/>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194"/>
      <c r="AU4" s="194"/>
      <c r="AV4" s="194"/>
      <c r="AW4" s="194"/>
      <c r="AX4" s="194"/>
      <c r="AY4" s="194"/>
      <c r="AZ4" s="194"/>
      <c r="BA4" s="194"/>
      <c r="BB4" s="194"/>
    </row>
    <row r="5" spans="1:64" x14ac:dyDescent="0.25">
      <c r="B5" s="195" t="s">
        <v>207</v>
      </c>
      <c r="C5" s="242">
        <v>78</v>
      </c>
      <c r="D5" s="242">
        <v>176</v>
      </c>
      <c r="E5" s="242">
        <v>145</v>
      </c>
      <c r="F5" s="242">
        <v>591</v>
      </c>
      <c r="G5" s="242">
        <v>191</v>
      </c>
      <c r="H5" s="242">
        <v>216</v>
      </c>
      <c r="I5" s="242">
        <v>141</v>
      </c>
      <c r="J5" s="242">
        <v>267</v>
      </c>
      <c r="K5" s="242">
        <v>118</v>
      </c>
      <c r="L5" s="242">
        <v>155</v>
      </c>
      <c r="M5" s="242">
        <v>337</v>
      </c>
      <c r="N5" s="242">
        <v>530</v>
      </c>
      <c r="O5" s="242">
        <v>146</v>
      </c>
      <c r="P5" s="242">
        <v>260</v>
      </c>
      <c r="Q5" s="242">
        <v>359</v>
      </c>
      <c r="R5" s="242">
        <v>539</v>
      </c>
      <c r="S5" s="242">
        <v>159</v>
      </c>
      <c r="T5" s="242">
        <v>333</v>
      </c>
      <c r="U5" s="242">
        <v>249</v>
      </c>
      <c r="V5" s="242">
        <v>448</v>
      </c>
      <c r="W5" s="242">
        <v>162</v>
      </c>
      <c r="X5" s="242">
        <v>211</v>
      </c>
      <c r="Y5" s="242">
        <v>273</v>
      </c>
      <c r="Z5" s="242">
        <v>382</v>
      </c>
      <c r="AA5" s="242">
        <v>107</v>
      </c>
      <c r="AB5" s="242">
        <v>212</v>
      </c>
      <c r="AC5" s="242">
        <v>195</v>
      </c>
      <c r="AD5" s="242">
        <v>524</v>
      </c>
      <c r="AE5" s="242">
        <v>127</v>
      </c>
      <c r="AF5" s="242">
        <v>267</v>
      </c>
      <c r="AG5" s="242">
        <v>242</v>
      </c>
      <c r="AH5" s="242">
        <v>577</v>
      </c>
      <c r="AI5" s="242">
        <v>163</v>
      </c>
      <c r="AJ5" s="242">
        <v>259</v>
      </c>
      <c r="AK5" s="242">
        <v>319</v>
      </c>
      <c r="AL5" s="242">
        <v>504</v>
      </c>
      <c r="AM5" s="242">
        <v>136</v>
      </c>
      <c r="AN5" s="242">
        <v>180</v>
      </c>
      <c r="AO5" s="242">
        <v>274</v>
      </c>
      <c r="AP5" s="242">
        <v>597</v>
      </c>
      <c r="AQ5" s="242">
        <v>171</v>
      </c>
      <c r="AR5" s="242">
        <v>241</v>
      </c>
      <c r="AS5" s="242">
        <v>272</v>
      </c>
      <c r="AT5" s="242">
        <v>430</v>
      </c>
      <c r="AU5" s="242">
        <v>130</v>
      </c>
      <c r="AV5" s="242">
        <v>166</v>
      </c>
      <c r="AW5" s="242">
        <v>215</v>
      </c>
      <c r="AX5" s="242">
        <v>302</v>
      </c>
      <c r="AY5" s="242">
        <v>106</v>
      </c>
      <c r="AZ5" s="242">
        <v>116</v>
      </c>
      <c r="BA5" s="242">
        <v>140</v>
      </c>
      <c r="BB5" s="242">
        <v>312</v>
      </c>
      <c r="BD5" s="38" t="s">
        <v>434</v>
      </c>
      <c r="BG5" s="196"/>
      <c r="BL5" s="196"/>
    </row>
    <row r="6" spans="1:64" x14ac:dyDescent="0.25">
      <c r="B6" s="195"/>
      <c r="C6" s="194"/>
      <c r="D6" s="194"/>
      <c r="E6" s="194"/>
      <c r="F6" s="194"/>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194"/>
      <c r="AU6" s="194"/>
      <c r="AV6" s="194"/>
      <c r="AW6" s="194"/>
      <c r="AX6" s="194"/>
      <c r="AY6" s="194"/>
      <c r="AZ6" s="194"/>
      <c r="BA6" s="194"/>
      <c r="BB6" s="194"/>
    </row>
    <row r="7" spans="1:64" x14ac:dyDescent="0.25">
      <c r="B7" s="195" t="s">
        <v>81</v>
      </c>
      <c r="C7" s="194"/>
      <c r="D7" s="194"/>
      <c r="E7" s="194"/>
      <c r="F7" s="194"/>
      <c r="G7" s="194"/>
      <c r="H7" s="194"/>
      <c r="I7" s="194"/>
      <c r="J7" s="194"/>
      <c r="K7" s="194"/>
      <c r="L7" s="194"/>
      <c r="M7" s="194"/>
      <c r="N7" s="194"/>
      <c r="O7" s="242">
        <v>8723</v>
      </c>
      <c r="P7" s="242">
        <v>9569</v>
      </c>
      <c r="Q7" s="242">
        <v>9105</v>
      </c>
      <c r="R7" s="242">
        <v>9130</v>
      </c>
      <c r="S7" s="242">
        <v>8695</v>
      </c>
      <c r="T7" s="242">
        <v>8751</v>
      </c>
      <c r="U7" s="242">
        <v>8300</v>
      </c>
      <c r="V7" s="242">
        <v>9253</v>
      </c>
      <c r="W7" s="242">
        <v>9263</v>
      </c>
      <c r="X7" s="242">
        <v>9295</v>
      </c>
      <c r="Y7" s="242">
        <v>7839</v>
      </c>
      <c r="Z7" s="242">
        <v>7643</v>
      </c>
      <c r="AA7" s="242">
        <v>7622</v>
      </c>
      <c r="AB7" s="242">
        <v>7637</v>
      </c>
      <c r="AC7" s="242">
        <v>7622</v>
      </c>
      <c r="AD7" s="242">
        <v>7639</v>
      </c>
      <c r="AE7" s="242">
        <v>8717</v>
      </c>
      <c r="AF7" s="242">
        <v>8731</v>
      </c>
      <c r="AG7" s="242">
        <v>8704</v>
      </c>
      <c r="AH7" s="242">
        <v>8953</v>
      </c>
      <c r="AI7" s="242">
        <v>8990</v>
      </c>
      <c r="AJ7" s="242">
        <v>8951</v>
      </c>
      <c r="AK7" s="242">
        <v>8910</v>
      </c>
      <c r="AL7" s="194">
        <f>AL9+AL8</f>
        <v>9780</v>
      </c>
      <c r="AM7" s="242">
        <v>10092</v>
      </c>
      <c r="AN7" s="242">
        <v>10341</v>
      </c>
      <c r="AO7" s="242">
        <v>10070</v>
      </c>
      <c r="AP7" s="242">
        <v>10098</v>
      </c>
      <c r="AQ7" s="242">
        <v>9936</v>
      </c>
      <c r="AR7" s="242">
        <v>9895</v>
      </c>
      <c r="AS7" s="242">
        <v>10285</v>
      </c>
      <c r="AT7" s="242">
        <v>9865</v>
      </c>
      <c r="AU7" s="242">
        <v>10157</v>
      </c>
      <c r="AV7" s="242">
        <v>10056</v>
      </c>
      <c r="AW7" s="242">
        <v>9768</v>
      </c>
      <c r="AX7" s="242">
        <v>9772</v>
      </c>
      <c r="AY7" s="242">
        <v>10065</v>
      </c>
      <c r="AZ7" s="242">
        <v>9249</v>
      </c>
      <c r="BA7" s="242">
        <v>9290</v>
      </c>
      <c r="BB7" s="242">
        <v>9289</v>
      </c>
    </row>
    <row r="8" spans="1:64" x14ac:dyDescent="0.25">
      <c r="B8" s="195" t="s">
        <v>82</v>
      </c>
      <c r="C8" s="194"/>
      <c r="D8" s="194"/>
      <c r="E8" s="194"/>
      <c r="F8" s="194"/>
      <c r="G8" s="194"/>
      <c r="H8" s="194"/>
      <c r="I8" s="194"/>
      <c r="J8" s="194"/>
      <c r="K8" s="194"/>
      <c r="L8" s="194"/>
      <c r="M8" s="194"/>
      <c r="N8" s="194"/>
      <c r="O8" s="242">
        <v>1335</v>
      </c>
      <c r="P8" s="242">
        <v>1557</v>
      </c>
      <c r="Q8" s="242">
        <v>1303</v>
      </c>
      <c r="R8" s="242">
        <v>1296</v>
      </c>
      <c r="S8" s="242">
        <v>786</v>
      </c>
      <c r="T8" s="242">
        <v>973</v>
      </c>
      <c r="U8" s="242">
        <v>696</v>
      </c>
      <c r="V8" s="242">
        <v>682</v>
      </c>
      <c r="W8" s="242">
        <v>559</v>
      </c>
      <c r="X8" s="242">
        <v>454</v>
      </c>
      <c r="Y8" s="242">
        <v>731</v>
      </c>
      <c r="Z8" s="242">
        <v>602</v>
      </c>
      <c r="AA8" s="242">
        <v>376</v>
      </c>
      <c r="AB8" s="242">
        <v>524</v>
      </c>
      <c r="AC8" s="242">
        <v>734</v>
      </c>
      <c r="AD8" s="242">
        <v>560</v>
      </c>
      <c r="AE8" s="242">
        <v>434</v>
      </c>
      <c r="AF8" s="242">
        <v>600</v>
      </c>
      <c r="AG8" s="242">
        <v>844</v>
      </c>
      <c r="AH8" s="242">
        <v>582</v>
      </c>
      <c r="AI8" s="242">
        <v>948</v>
      </c>
      <c r="AJ8" s="242">
        <v>693</v>
      </c>
      <c r="AK8" s="242">
        <v>637</v>
      </c>
      <c r="AL8" s="242">
        <v>735</v>
      </c>
      <c r="AM8" s="242">
        <v>952</v>
      </c>
      <c r="AN8" s="242">
        <v>1369</v>
      </c>
      <c r="AO8" s="242">
        <v>1214</v>
      </c>
      <c r="AP8" s="242">
        <v>1191</v>
      </c>
      <c r="AQ8" s="242">
        <v>531</v>
      </c>
      <c r="AR8" s="242">
        <v>853</v>
      </c>
      <c r="AS8" s="242">
        <v>1142</v>
      </c>
      <c r="AT8" s="242">
        <v>628</v>
      </c>
      <c r="AU8" s="242">
        <v>340</v>
      </c>
      <c r="AV8" s="242">
        <v>515</v>
      </c>
      <c r="AW8" s="242">
        <v>695</v>
      </c>
      <c r="AX8" s="242">
        <v>569</v>
      </c>
      <c r="AY8" s="242">
        <v>1168</v>
      </c>
      <c r="AZ8" s="242">
        <v>727</v>
      </c>
      <c r="BA8" s="242">
        <v>827</v>
      </c>
      <c r="BB8" s="242">
        <v>464</v>
      </c>
    </row>
    <row r="9" spans="1:64" x14ac:dyDescent="0.25">
      <c r="B9" s="195" t="s">
        <v>74</v>
      </c>
      <c r="C9" s="194"/>
      <c r="D9" s="194"/>
      <c r="E9" s="194"/>
      <c r="F9" s="194"/>
      <c r="G9" s="194"/>
      <c r="H9" s="194"/>
      <c r="I9" s="194"/>
      <c r="J9" s="194"/>
      <c r="K9" s="194"/>
      <c r="L9" s="194"/>
      <c r="M9" s="194"/>
      <c r="N9" s="194"/>
      <c r="O9" s="194">
        <f t="shared" ref="O9:Z9" si="0">O7-O8</f>
        <v>7388</v>
      </c>
      <c r="P9" s="194">
        <f t="shared" si="0"/>
        <v>8012</v>
      </c>
      <c r="Q9" s="194">
        <f t="shared" si="0"/>
        <v>7802</v>
      </c>
      <c r="R9" s="194">
        <f t="shared" si="0"/>
        <v>7834</v>
      </c>
      <c r="S9" s="194">
        <f t="shared" si="0"/>
        <v>7909</v>
      </c>
      <c r="T9" s="194">
        <f t="shared" si="0"/>
        <v>7778</v>
      </c>
      <c r="U9" s="194">
        <f t="shared" si="0"/>
        <v>7604</v>
      </c>
      <c r="V9" s="194">
        <f t="shared" si="0"/>
        <v>8571</v>
      </c>
      <c r="W9" s="194">
        <f t="shared" si="0"/>
        <v>8704</v>
      </c>
      <c r="X9" s="194">
        <f t="shared" si="0"/>
        <v>8841</v>
      </c>
      <c r="Y9" s="194">
        <f t="shared" si="0"/>
        <v>7108</v>
      </c>
      <c r="Z9" s="194">
        <f t="shared" si="0"/>
        <v>7041</v>
      </c>
      <c r="AA9" s="242">
        <v>7246</v>
      </c>
      <c r="AB9" s="242">
        <v>7113</v>
      </c>
      <c r="AC9" s="242">
        <v>6888</v>
      </c>
      <c r="AD9" s="242">
        <v>7079</v>
      </c>
      <c r="AE9" s="194">
        <f t="shared" ref="AE9:AO9" si="1">AE7-AE8</f>
        <v>8283</v>
      </c>
      <c r="AF9" s="194">
        <f t="shared" si="1"/>
        <v>8131</v>
      </c>
      <c r="AG9" s="194">
        <f t="shared" si="1"/>
        <v>7860</v>
      </c>
      <c r="AH9" s="194">
        <f t="shared" si="1"/>
        <v>8371</v>
      </c>
      <c r="AI9" s="194">
        <f t="shared" si="1"/>
        <v>8042</v>
      </c>
      <c r="AJ9" s="194">
        <f t="shared" si="1"/>
        <v>8258</v>
      </c>
      <c r="AK9" s="194">
        <f t="shared" si="1"/>
        <v>8273</v>
      </c>
      <c r="AL9" s="242">
        <v>9045</v>
      </c>
      <c r="AM9" s="194">
        <f t="shared" si="1"/>
        <v>9140</v>
      </c>
      <c r="AN9" s="194">
        <f t="shared" si="1"/>
        <v>8972</v>
      </c>
      <c r="AO9" s="194">
        <f t="shared" si="1"/>
        <v>8856</v>
      </c>
      <c r="AP9" s="194">
        <f t="shared" ref="AP9:AS9" si="2">AP7-AP8</f>
        <v>8907</v>
      </c>
      <c r="AQ9" s="194">
        <f t="shared" si="2"/>
        <v>9405</v>
      </c>
      <c r="AR9" s="194">
        <f t="shared" si="2"/>
        <v>9042</v>
      </c>
      <c r="AS9" s="194">
        <f t="shared" si="2"/>
        <v>9143</v>
      </c>
      <c r="AT9" s="194">
        <f t="shared" ref="AT9:AV9" si="3">AT7-AT8</f>
        <v>9237</v>
      </c>
      <c r="AU9" s="194">
        <f t="shared" si="3"/>
        <v>9817</v>
      </c>
      <c r="AV9" s="194">
        <f t="shared" si="3"/>
        <v>9541</v>
      </c>
      <c r="AW9" s="194">
        <f t="shared" ref="AW9:AX9" si="4">AW7-AW8</f>
        <v>9073</v>
      </c>
      <c r="AX9" s="194">
        <f t="shared" si="4"/>
        <v>9203</v>
      </c>
      <c r="AY9" s="194">
        <f t="shared" ref="AY9:AZ9" si="5">AY7-AY8</f>
        <v>8897</v>
      </c>
      <c r="AZ9" s="194">
        <f t="shared" si="5"/>
        <v>8522</v>
      </c>
      <c r="BA9" s="194">
        <f t="shared" ref="BA9:BB9" si="6">BA7-BA8</f>
        <v>8463</v>
      </c>
      <c r="BB9" s="194">
        <f t="shared" si="6"/>
        <v>8825</v>
      </c>
    </row>
    <row r="10" spans="1:64" x14ac:dyDescent="0.25">
      <c r="B10" s="197"/>
      <c r="C10" s="194"/>
      <c r="D10" s="194"/>
      <c r="E10" s="194"/>
      <c r="F10" s="194"/>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194"/>
      <c r="AU10" s="194"/>
      <c r="AV10" s="194"/>
      <c r="AW10" s="194"/>
      <c r="AX10" s="194"/>
      <c r="AY10" s="194"/>
      <c r="AZ10" s="194"/>
      <c r="BA10" s="194"/>
      <c r="BB10" s="194"/>
    </row>
    <row r="11" spans="1:64" x14ac:dyDescent="0.25">
      <c r="B11" s="197"/>
      <c r="C11" s="194"/>
      <c r="D11" s="194"/>
      <c r="E11" s="194"/>
      <c r="F11" s="194"/>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194"/>
      <c r="AU11" s="194"/>
      <c r="AV11" s="194"/>
      <c r="AW11" s="194"/>
      <c r="AX11" s="194"/>
      <c r="AY11" s="194"/>
      <c r="AZ11" s="194"/>
      <c r="BA11" s="194"/>
      <c r="BB11" s="194"/>
    </row>
    <row r="12" spans="1:64" ht="17.25" customHeight="1" x14ac:dyDescent="0.25">
      <c r="B12" s="194"/>
      <c r="C12" s="198"/>
      <c r="D12" s="198"/>
      <c r="E12" s="198"/>
      <c r="F12" s="198"/>
      <c r="G12" s="198"/>
      <c r="H12" s="198"/>
      <c r="I12" s="198"/>
      <c r="J12" s="198"/>
      <c r="K12" s="198"/>
      <c r="L12" s="198"/>
      <c r="M12" s="198"/>
      <c r="N12" s="198"/>
      <c r="O12" s="198"/>
      <c r="P12" s="198"/>
      <c r="Q12" s="198"/>
      <c r="R12" s="198"/>
      <c r="S12" s="198"/>
      <c r="T12" s="198"/>
      <c r="U12" s="198"/>
      <c r="V12" s="198"/>
      <c r="W12" s="198"/>
      <c r="X12" s="198"/>
      <c r="Y12" s="198"/>
      <c r="Z12" s="198"/>
      <c r="AA12" s="198"/>
      <c r="AB12" s="198"/>
      <c r="AC12" s="198"/>
      <c r="AD12" s="198"/>
      <c r="AE12" s="198"/>
      <c r="AF12" s="198"/>
      <c r="AG12" s="198"/>
      <c r="AH12" s="198"/>
      <c r="AI12" s="198"/>
      <c r="AJ12" s="198"/>
      <c r="AK12" s="198"/>
      <c r="AL12" s="198"/>
      <c r="AM12" s="198"/>
      <c r="AN12" s="198"/>
      <c r="AO12" s="198"/>
      <c r="AP12" s="198"/>
      <c r="AQ12" s="198"/>
      <c r="AR12" s="198"/>
      <c r="AS12" s="198"/>
      <c r="AT12" s="198"/>
      <c r="AU12" s="198"/>
      <c r="AV12" s="198"/>
      <c r="AW12" s="198"/>
      <c r="AX12" s="198"/>
      <c r="AY12" s="198"/>
      <c r="AZ12" s="198"/>
      <c r="BA12" s="198"/>
      <c r="BB12" s="198"/>
    </row>
    <row r="13" spans="1:64" ht="17.25" customHeight="1" x14ac:dyDescent="0.25">
      <c r="B13" s="199"/>
      <c r="C13" s="200"/>
      <c r="D13" s="200"/>
      <c r="E13" s="200"/>
      <c r="F13" s="200"/>
      <c r="G13" s="200"/>
      <c r="H13" s="200"/>
      <c r="I13" s="200"/>
      <c r="J13" s="200"/>
      <c r="K13" s="200"/>
      <c r="L13" s="200"/>
      <c r="M13" s="200"/>
      <c r="N13" s="200"/>
      <c r="O13" s="200"/>
      <c r="P13" s="200"/>
      <c r="Q13" s="200"/>
      <c r="R13" s="200"/>
      <c r="S13" s="200"/>
      <c r="T13" s="200"/>
      <c r="U13" s="200"/>
      <c r="V13" s="200"/>
      <c r="W13" s="200"/>
      <c r="X13" s="200"/>
      <c r="Y13" s="200"/>
      <c r="Z13" s="200"/>
      <c r="AA13" s="200"/>
      <c r="AB13" s="200"/>
      <c r="AC13" s="200"/>
      <c r="AD13" s="200"/>
      <c r="AE13" s="200"/>
      <c r="AF13" s="200"/>
      <c r="AG13" s="200"/>
      <c r="AH13" s="200"/>
      <c r="AI13" s="200"/>
      <c r="AJ13" s="200"/>
      <c r="AK13" s="200"/>
      <c r="AL13" s="200"/>
      <c r="AM13" s="200"/>
      <c r="AN13" s="200"/>
      <c r="AO13" s="200"/>
      <c r="AP13" s="200"/>
      <c r="AQ13" s="200"/>
      <c r="AR13" s="200"/>
      <c r="AS13" s="200"/>
      <c r="AT13" s="200"/>
      <c r="AU13" s="200"/>
      <c r="AV13" s="200"/>
      <c r="AW13" s="200"/>
      <c r="AX13" s="200"/>
      <c r="AY13" s="200"/>
      <c r="AZ13" s="200"/>
      <c r="BA13" s="200"/>
      <c r="BB13" s="200"/>
    </row>
    <row r="14" spans="1:64" x14ac:dyDescent="0.25">
      <c r="AC14" s="38"/>
      <c r="AD14" s="38"/>
    </row>
    <row r="15" spans="1:64" x14ac:dyDescent="0.25">
      <c r="A15" s="111"/>
      <c r="B15" s="201"/>
      <c r="C15" s="111"/>
      <c r="D15" s="111"/>
      <c r="E15" s="111"/>
      <c r="F15" s="201"/>
      <c r="G15" s="111"/>
      <c r="H15" s="201"/>
      <c r="I15" s="111"/>
      <c r="J15" s="201"/>
      <c r="K15" s="111"/>
      <c r="L15" s="201"/>
      <c r="M15" s="111"/>
      <c r="N15" s="201"/>
      <c r="O15" s="111"/>
      <c r="P15" s="201"/>
      <c r="Q15" s="111"/>
      <c r="R15" s="201"/>
      <c r="S15" s="111"/>
      <c r="T15" s="201"/>
      <c r="U15" s="111"/>
      <c r="V15" s="201"/>
      <c r="W15" s="201"/>
      <c r="X15" s="201"/>
      <c r="Y15" s="201"/>
      <c r="Z15" s="201"/>
      <c r="AA15" s="201"/>
      <c r="AB15" s="201"/>
      <c r="AC15" s="201"/>
      <c r="AD15" s="201"/>
      <c r="AE15" s="202"/>
      <c r="AF15" s="202"/>
      <c r="AG15" s="202"/>
      <c r="AH15" s="202"/>
      <c r="AI15" s="202"/>
      <c r="AJ15" s="202"/>
      <c r="AK15" s="202"/>
      <c r="AL15" s="202"/>
      <c r="AM15" s="202"/>
      <c r="AN15" s="202"/>
      <c r="AO15" s="202"/>
      <c r="AP15" s="202"/>
      <c r="AQ15" s="202"/>
      <c r="AR15" s="202"/>
      <c r="AS15" s="202"/>
      <c r="AT15" s="202"/>
      <c r="AU15" s="202"/>
      <c r="AV15" s="202"/>
      <c r="AW15" s="202"/>
      <c r="AX15" s="202"/>
      <c r="AY15" s="202"/>
      <c r="AZ15" s="202"/>
      <c r="BA15" s="202"/>
      <c r="BB15" s="202"/>
      <c r="BC15" s="111"/>
      <c r="BD15" s="201"/>
      <c r="BE15" s="113"/>
      <c r="BF15" s="203"/>
      <c r="BG15" s="113"/>
      <c r="BH15" s="203"/>
    </row>
    <row r="16" spans="1:64" x14ac:dyDescent="0.25">
      <c r="A16" s="111"/>
      <c r="B16" s="201"/>
      <c r="C16" s="111"/>
      <c r="D16" s="111"/>
      <c r="E16" s="111"/>
      <c r="F16" s="201"/>
      <c r="G16" s="111"/>
      <c r="H16" s="201"/>
      <c r="I16" s="111"/>
      <c r="J16" s="201"/>
      <c r="K16" s="111"/>
      <c r="L16" s="201"/>
      <c r="M16" s="111"/>
      <c r="N16" s="201"/>
      <c r="O16" s="111"/>
      <c r="P16" s="201"/>
      <c r="Q16" s="111"/>
      <c r="R16" s="201"/>
      <c r="S16" s="111"/>
      <c r="T16" s="201"/>
      <c r="U16" s="111"/>
      <c r="V16" s="201"/>
      <c r="W16" s="201"/>
      <c r="X16" s="201"/>
      <c r="Y16" s="201"/>
      <c r="Z16" s="201"/>
      <c r="AA16" s="201"/>
      <c r="AB16" s="201"/>
      <c r="AC16" s="201"/>
      <c r="AD16" s="201"/>
      <c r="AE16" s="202"/>
      <c r="AF16" s="202"/>
      <c r="AG16" s="202"/>
      <c r="AH16" s="202"/>
      <c r="AI16" s="202"/>
      <c r="AJ16" s="202"/>
      <c r="AK16" s="202"/>
      <c r="AL16" s="202"/>
      <c r="AM16" s="202"/>
      <c r="AN16" s="202"/>
      <c r="AO16" s="202"/>
      <c r="AP16" s="202"/>
      <c r="AQ16" s="202"/>
      <c r="AR16" s="202"/>
      <c r="AS16" s="202"/>
      <c r="AT16" s="202"/>
      <c r="AU16" s="202"/>
      <c r="AV16" s="202"/>
      <c r="AW16" s="202"/>
      <c r="AX16" s="202"/>
      <c r="AY16" s="202"/>
      <c r="AZ16" s="202"/>
      <c r="BA16" s="202"/>
      <c r="BB16" s="202"/>
      <c r="BC16" s="111"/>
      <c r="BD16" s="201"/>
      <c r="BE16" s="113"/>
      <c r="BF16" s="203"/>
      <c r="BG16" s="113"/>
      <c r="BH16" s="203"/>
    </row>
    <row r="17" spans="2:56" ht="13.8" thickBot="1" x14ac:dyDescent="0.3">
      <c r="AC17" s="38"/>
      <c r="AD17" s="38"/>
    </row>
    <row r="18" spans="2:56" ht="13.8" thickBot="1" x14ac:dyDescent="0.3">
      <c r="B18" s="38" t="s">
        <v>75</v>
      </c>
      <c r="C18" s="183"/>
      <c r="D18" s="183"/>
      <c r="E18" s="183"/>
      <c r="F18" s="183"/>
      <c r="G18" s="185">
        <f t="shared" ref="G18:V18" si="7">G5/C5-1</f>
        <v>1.4487179487179489</v>
      </c>
      <c r="H18" s="185">
        <f t="shared" si="7"/>
        <v>0.22727272727272729</v>
      </c>
      <c r="I18" s="185">
        <f t="shared" si="7"/>
        <v>-2.7586206896551779E-2</v>
      </c>
      <c r="J18" s="185">
        <f t="shared" si="7"/>
        <v>-0.54822335025380708</v>
      </c>
      <c r="K18" s="185">
        <f t="shared" si="7"/>
        <v>-0.38219895287958117</v>
      </c>
      <c r="L18" s="185">
        <f t="shared" si="7"/>
        <v>-0.28240740740740744</v>
      </c>
      <c r="M18" s="185">
        <f t="shared" si="7"/>
        <v>1.3900709219858154</v>
      </c>
      <c r="N18" s="185">
        <f t="shared" si="7"/>
        <v>0.98501872659176026</v>
      </c>
      <c r="O18" s="185">
        <f t="shared" si="7"/>
        <v>0.23728813559322037</v>
      </c>
      <c r="P18" s="185">
        <f t="shared" si="7"/>
        <v>0.67741935483870974</v>
      </c>
      <c r="Q18" s="185">
        <f t="shared" si="7"/>
        <v>6.5281899109792318E-2</v>
      </c>
      <c r="R18" s="185">
        <f t="shared" si="7"/>
        <v>1.6981132075471805E-2</v>
      </c>
      <c r="S18" s="185">
        <f t="shared" si="7"/>
        <v>8.9041095890410871E-2</v>
      </c>
      <c r="T18" s="185">
        <f t="shared" si="7"/>
        <v>0.28076923076923066</v>
      </c>
      <c r="U18" s="184">
        <f t="shared" si="7"/>
        <v>-0.30640668523676884</v>
      </c>
      <c r="V18" s="243">
        <f t="shared" si="7"/>
        <v>-0.16883116883116878</v>
      </c>
      <c r="W18" s="204">
        <f t="shared" ref="W18:AH18" si="8">W5/S5-1</f>
        <v>1.8867924528301883E-2</v>
      </c>
      <c r="X18" s="204">
        <f t="shared" si="8"/>
        <v>-0.36636636636636633</v>
      </c>
      <c r="Y18" s="204">
        <f t="shared" si="8"/>
        <v>9.6385542168674787E-2</v>
      </c>
      <c r="Z18" s="204">
        <f t="shared" si="8"/>
        <v>-0.1473214285714286</v>
      </c>
      <c r="AA18" s="204">
        <f t="shared" si="8"/>
        <v>-0.33950617283950613</v>
      </c>
      <c r="AB18" s="204">
        <f t="shared" si="8"/>
        <v>4.7393364928909332E-3</v>
      </c>
      <c r="AC18" s="204">
        <f t="shared" si="8"/>
        <v>-0.2857142857142857</v>
      </c>
      <c r="AD18" s="204">
        <f t="shared" si="8"/>
        <v>0.37172774869109948</v>
      </c>
      <c r="AE18" s="204">
        <f t="shared" si="8"/>
        <v>0.18691588785046731</v>
      </c>
      <c r="AF18" s="204">
        <f t="shared" si="8"/>
        <v>0.25943396226415105</v>
      </c>
      <c r="AG18" s="204">
        <f t="shared" si="8"/>
        <v>0.24102564102564106</v>
      </c>
      <c r="AH18" s="204">
        <f t="shared" si="8"/>
        <v>0.10114503816793885</v>
      </c>
      <c r="AI18" s="204">
        <f t="shared" ref="AI18:BB18" si="9">AI5/AE5-1</f>
        <v>0.2834645669291338</v>
      </c>
      <c r="AJ18" s="204">
        <f t="shared" si="9"/>
        <v>-2.9962546816479363E-2</v>
      </c>
      <c r="AK18" s="204">
        <f t="shared" si="9"/>
        <v>0.31818181818181812</v>
      </c>
      <c r="AL18" s="204">
        <f t="shared" si="9"/>
        <v>-0.12651646447140386</v>
      </c>
      <c r="AM18" s="204">
        <f t="shared" si="9"/>
        <v>-0.16564417177914115</v>
      </c>
      <c r="AN18" s="204">
        <f t="shared" si="9"/>
        <v>-0.30501930501930496</v>
      </c>
      <c r="AO18" s="204">
        <f t="shared" si="9"/>
        <v>-0.14106583072100309</v>
      </c>
      <c r="AP18" s="204">
        <f t="shared" si="9"/>
        <v>0.18452380952380953</v>
      </c>
      <c r="AQ18" s="204">
        <f t="shared" si="9"/>
        <v>0.25735294117647056</v>
      </c>
      <c r="AR18" s="204">
        <f t="shared" si="9"/>
        <v>0.3388888888888888</v>
      </c>
      <c r="AS18" s="204">
        <f t="shared" si="9"/>
        <v>-7.2992700729926918E-3</v>
      </c>
      <c r="AT18" s="204">
        <f t="shared" si="9"/>
        <v>-0.27973199329983245</v>
      </c>
      <c r="AU18" s="204">
        <f t="shared" si="9"/>
        <v>-0.23976608187134507</v>
      </c>
      <c r="AV18" s="204">
        <f t="shared" si="9"/>
        <v>-0.31120331950207469</v>
      </c>
      <c r="AW18" s="204">
        <f t="shared" si="9"/>
        <v>-0.2095588235294118</v>
      </c>
      <c r="AX18" s="204">
        <f t="shared" si="9"/>
        <v>-0.29767441860465116</v>
      </c>
      <c r="AY18" s="204">
        <f t="shared" si="9"/>
        <v>-0.18461538461538463</v>
      </c>
      <c r="AZ18" s="204">
        <f t="shared" si="9"/>
        <v>-0.3012048192771084</v>
      </c>
      <c r="BA18" s="204">
        <f t="shared" si="9"/>
        <v>-0.34883720930232553</v>
      </c>
      <c r="BB18" s="204">
        <f t="shared" si="9"/>
        <v>3.3112582781456901E-2</v>
      </c>
    </row>
    <row r="19" spans="2:56" x14ac:dyDescent="0.25">
      <c r="B19" s="38" t="s">
        <v>76</v>
      </c>
      <c r="C19" s="185">
        <f>C5/'Profit and Loss Highlights'!C32</f>
        <v>3.6533957845433257E-2</v>
      </c>
      <c r="D19" s="185">
        <f>D5/'Profit and Loss Highlights'!D32</f>
        <v>7.9172289698605486E-2</v>
      </c>
      <c r="E19" s="185">
        <f>E5/'Profit and Loss Highlights'!E32</f>
        <v>6.5433212996389892E-2</v>
      </c>
      <c r="F19" s="185">
        <f>F5/'Profit and Loss Highlights'!F32</f>
        <v>0.25628794449262793</v>
      </c>
      <c r="G19" s="185">
        <f>G5/'Profit and Loss Highlights'!G32</f>
        <v>8.2079931241942419E-2</v>
      </c>
      <c r="H19" s="185">
        <f>H5/'Profit and Loss Highlights'!H32</f>
        <v>9.4117647058823528E-2</v>
      </c>
      <c r="I19" s="185">
        <f>I5/'Profit and Loss Highlights'!I32</f>
        <v>6.2974542206342118E-2</v>
      </c>
      <c r="J19" s="185">
        <f>J5/'Profit and Loss Highlights'!J32</f>
        <v>0.12005395683453238</v>
      </c>
      <c r="K19" s="185">
        <f>K5/'Profit and Loss Highlights'!K32</f>
        <v>5.5686644643699858E-2</v>
      </c>
      <c r="L19" s="185">
        <f>L5/'Profit and Loss Highlights'!L32</f>
        <v>7.4447646493756001E-2</v>
      </c>
      <c r="M19" s="185">
        <f>M5/'Profit and Loss Highlights'!M32</f>
        <v>0.16319612590799032</v>
      </c>
      <c r="N19" s="185">
        <f>N5/'Profit and Loss Highlights'!N32</f>
        <v>0.24964672633066415</v>
      </c>
      <c r="O19" s="185">
        <f>O5/'Profit and Loss Highlights'!O32</f>
        <v>6.7938576081898558E-2</v>
      </c>
      <c r="P19" s="185">
        <f>P5/'Profit and Loss Highlights'!P32</f>
        <v>0.12322274881516587</v>
      </c>
      <c r="Q19" s="185">
        <f>Q5/'Profit and Loss Highlights'!Q32</f>
        <v>0.16574330563250231</v>
      </c>
      <c r="R19" s="185">
        <f>R5/'Profit and Loss Highlights'!R32</f>
        <v>0.24770220588235295</v>
      </c>
      <c r="S19" s="185">
        <f>S5/'Profit and Loss Highlights'!S32</f>
        <v>7.429906542056075E-2</v>
      </c>
      <c r="T19" s="185">
        <f>T5/'Profit and Loss Highlights'!T32</f>
        <v>0.15842055185537585</v>
      </c>
      <c r="U19" s="185">
        <f>U5/'Profit and Loss Highlights'!U32</f>
        <v>0.11549165120593692</v>
      </c>
      <c r="V19" s="185">
        <f>V5/'Profit and Loss Highlights'!V32</f>
        <v>0.20234869015356821</v>
      </c>
      <c r="W19" s="185">
        <f>W5/'Profit and Loss Highlights'!W32</f>
        <v>6.8210526315789471E-2</v>
      </c>
      <c r="X19" s="185">
        <f>X5/'Profit and Loss Highlights'!X32</f>
        <v>9.036402569593148E-2</v>
      </c>
      <c r="Y19" s="185">
        <f>Y5/'Profit and Loss Highlights'!Y32</f>
        <v>0.11701671667381054</v>
      </c>
      <c r="Z19" s="184">
        <f>Z5/'Profit and Loss Highlights'!Z32</f>
        <v>0.16077441077441076</v>
      </c>
      <c r="AA19" s="184">
        <f>AA5/'Profit and Loss Highlights'!AA32</f>
        <v>4.7831917746982568E-2</v>
      </c>
      <c r="AB19" s="184">
        <f>AB5/'Profit and Loss Highlights'!AB32</f>
        <v>9.4390026714158498E-2</v>
      </c>
      <c r="AC19" s="184">
        <f>AC5/'Profit and Loss Highlights'!AC32</f>
        <v>8.6130742049469966E-2</v>
      </c>
      <c r="AD19" s="184">
        <f>AD5/'Profit and Loss Highlights'!AD32</f>
        <v>0.21431492842535788</v>
      </c>
      <c r="AE19" s="184">
        <f>AE5/'Profit and Loss Highlights'!AE32</f>
        <v>5.6899641577060935E-2</v>
      </c>
      <c r="AF19" s="184">
        <f>AF5/'Profit and Loss Highlights'!AF32</f>
        <v>0.12103354487760652</v>
      </c>
      <c r="AG19" s="184">
        <f>AG5/'Profit and Loss Highlights'!AG32</f>
        <v>0.10590809628008753</v>
      </c>
      <c r="AH19" s="184">
        <f>AH5/'Profit and Loss Highlights'!AH32</f>
        <v>0.22277992277992278</v>
      </c>
      <c r="AI19" s="184">
        <f>AI5/'Profit and Loss Highlights'!AI32</f>
        <v>6.9628363947031188E-2</v>
      </c>
      <c r="AJ19" s="184">
        <f>AJ5/'Profit and Loss Highlights'!AJ32</f>
        <v>0.1204091120409112</v>
      </c>
      <c r="AK19" s="184">
        <f>AK5/'Profit and Loss Highlights'!AK32</f>
        <v>0.14414821509263442</v>
      </c>
      <c r="AL19" s="184">
        <f>AL5/'Profit and Loss Highlights'!AL32</f>
        <v>0.22291021671826625</v>
      </c>
      <c r="AM19" s="184">
        <f>AM5/'Profit and Loss Highlights'!AM32</f>
        <v>6.0714285714285714E-2</v>
      </c>
      <c r="AN19" s="184">
        <f>AN5/'Profit and Loss Highlights'!AN32</f>
        <v>7.9155672823219003E-2</v>
      </c>
      <c r="AO19" s="184">
        <f>AO5/'Profit and Loss Highlights'!AO32</f>
        <v>0.12065169528841919</v>
      </c>
      <c r="AP19" s="185">
        <f>AP5/'Profit and Loss Highlights'!AP32</f>
        <v>0.24307817589576547</v>
      </c>
      <c r="AQ19" s="184">
        <f>AQ5/'Profit and Loss Highlights'!AQ32</f>
        <v>7.1072319201995013E-2</v>
      </c>
      <c r="AR19" s="184">
        <f>AR5/'Profit and Loss Highlights'!AR32</f>
        <v>9.9422442244224418E-2</v>
      </c>
      <c r="AS19" s="184">
        <f>AS5/'Profit and Loss Highlights'!AS32</f>
        <v>0.1130977130977131</v>
      </c>
      <c r="AT19" s="184">
        <f>AT5/'Profit and Loss Highlights'!AT32</f>
        <v>0.16836335160532498</v>
      </c>
      <c r="AU19" s="184">
        <f>AU5/'Profit and Loss Highlights'!AU32</f>
        <v>5.1464766429136978E-2</v>
      </c>
      <c r="AV19" s="184">
        <f>AV5/'Profit and Loss Highlights'!AV32</f>
        <v>6.7206477732793521E-2</v>
      </c>
      <c r="AW19" s="184">
        <f>AW5/'Profit and Loss Highlights'!AW32</f>
        <v>8.8042588042588049E-2</v>
      </c>
      <c r="AX19" s="184">
        <f>AX5/'Profit and Loss Highlights'!AX32</f>
        <v>0.11013858497447118</v>
      </c>
      <c r="AY19" s="184">
        <f>AY5/'Profit and Loss Highlights'!AY32</f>
        <v>4.0722243565117174E-2</v>
      </c>
      <c r="AZ19" s="184">
        <f>AZ5/'Profit and Loss Highlights'!AZ32</f>
        <v>4.4856921887084303E-2</v>
      </c>
      <c r="BA19" s="184">
        <f>BA5/'Profit and Loss Highlights'!BA32</f>
        <v>5.434782608695652E-2</v>
      </c>
      <c r="BB19" s="184">
        <f>BB5/'Profit and Loss Highlights'!BB32</f>
        <v>0.11259473114399134</v>
      </c>
      <c r="BD19" s="183"/>
    </row>
    <row r="20" spans="2:56" x14ac:dyDescent="0.25">
      <c r="B20" s="38" t="s">
        <v>83</v>
      </c>
      <c r="C20" s="185">
        <f>C5/'Profit and Loss Highlights'!C10</f>
        <v>3.8310412573673867E-2</v>
      </c>
      <c r="D20" s="185">
        <f>D5/'Profit and Loss Highlights'!D10</f>
        <v>8.4574723690533399E-2</v>
      </c>
      <c r="E20" s="185">
        <f>E5/'Profit and Loss Highlights'!E10</f>
        <v>7.01839303000968E-2</v>
      </c>
      <c r="F20" s="185">
        <f>F5/'Profit and Loss Highlights'!F10</f>
        <v>0.27996210326859311</v>
      </c>
      <c r="G20" s="185">
        <f>G5/'Profit and Loss Highlights'!G10</f>
        <v>9.244917715392062E-2</v>
      </c>
      <c r="H20" s="185">
        <f>H5/'Profit and Loss Highlights'!H10</f>
        <v>0.10470189045079981</v>
      </c>
      <c r="I20" s="185">
        <f>I5/'Profit and Loss Highlights'!I10</f>
        <v>6.874695270599708E-2</v>
      </c>
      <c r="J20" s="185">
        <f>J5/'Profit and Loss Highlights'!J10</f>
        <v>0.13191699604743082</v>
      </c>
      <c r="K20" s="185">
        <f>K5/'Profit and Loss Highlights'!K10</f>
        <v>6.0419866871479773E-2</v>
      </c>
      <c r="L20" s="185">
        <f>L5/'Profit and Loss Highlights'!L10</f>
        <v>7.9283887468030695E-2</v>
      </c>
      <c r="M20" s="185">
        <f>M5/'Profit and Loss Highlights'!M10</f>
        <v>0.17317574511819117</v>
      </c>
      <c r="N20" s="185">
        <f>N5/'Profit and Loss Highlights'!N10</f>
        <v>0.2665995975855131</v>
      </c>
      <c r="O20" s="185">
        <f>O5/'Profit and Loss Highlights'!O10</f>
        <v>7.2313026250619125E-2</v>
      </c>
      <c r="P20" s="185">
        <f>P5/'Profit and Loss Highlights'!P10</f>
        <v>0.13104838709677419</v>
      </c>
      <c r="Q20" s="185">
        <f>Q5/'Profit and Loss Highlights'!Q10</f>
        <v>0.17546432062561096</v>
      </c>
      <c r="R20" s="185">
        <f>R5/'Profit and Loss Highlights'!R10</f>
        <v>0.2633121641426478</v>
      </c>
      <c r="S20" s="185">
        <f>S5/'Profit and Loss Highlights'!S10</f>
        <v>7.930174563591022E-2</v>
      </c>
      <c r="T20" s="185">
        <f>T5/'Profit and Loss Highlights'!T10</f>
        <v>0.17218200620475699</v>
      </c>
      <c r="U20" s="185">
        <f>U5/'Profit and Loss Highlights'!U10</f>
        <v>0.12563067608476286</v>
      </c>
      <c r="V20" s="185">
        <f>V5/'Profit and Loss Highlights'!V10</f>
        <v>0.22090729783037474</v>
      </c>
      <c r="W20" s="185">
        <f>W5/'Profit and Loss Highlights'!W10</f>
        <v>8.3419155509783724E-2</v>
      </c>
      <c r="X20" s="185">
        <f>X5/'Profit and Loss Highlights'!X10</f>
        <v>0.10943983402489627</v>
      </c>
      <c r="Y20" s="185">
        <f>Y5/'Profit and Loss Highlights'!Y10</f>
        <v>0.14043209876543211</v>
      </c>
      <c r="Z20" s="184">
        <f>Z5/'Profit and Loss Highlights'!Z10</f>
        <v>0.20137058513442277</v>
      </c>
      <c r="AA20" s="184">
        <f>AA5/'Profit and Loss Highlights'!AA10</f>
        <v>5.8342420937840783E-2</v>
      </c>
      <c r="AB20" s="184">
        <f>AB5/'Profit and Loss Highlights'!AB10</f>
        <v>0.11379495437466453</v>
      </c>
      <c r="AC20" s="184">
        <f>AC5/'Profit and Loss Highlights'!AC10</f>
        <v>0.10394456289978678</v>
      </c>
      <c r="AD20" s="184">
        <f>AD5/'Profit and Loss Highlights'!AD10</f>
        <v>0.2760800842992624</v>
      </c>
      <c r="AE20" s="184">
        <f>AE5/'Profit and Loss Highlights'!AE10</f>
        <v>7.0673344462993878E-2</v>
      </c>
      <c r="AF20" s="184">
        <f>AF5/'Profit and Loss Highlights'!AF10</f>
        <v>0.1514463981849121</v>
      </c>
      <c r="AG20" s="184">
        <f>AG5/'Profit and Loss Highlights'!AG10</f>
        <v>0.13649182177100957</v>
      </c>
      <c r="AH20" s="184">
        <f>AH5/'Profit and Loss Highlights'!AH10</f>
        <v>0.32562076749435664</v>
      </c>
      <c r="AI20" s="184">
        <f>AI5/'Profit and Loss Highlights'!AI10</f>
        <v>9.5995288574793877E-2</v>
      </c>
      <c r="AJ20" s="184">
        <f>AJ5/'Profit and Loss Highlights'!AJ10</f>
        <v>0.15602409638554218</v>
      </c>
      <c r="AK20" s="184">
        <f>AK5/'Profit and Loss Highlights'!AK10</f>
        <v>0.19067543335325762</v>
      </c>
      <c r="AL20" s="184">
        <f>AL5/'Profit and Loss Highlights'!AL10</f>
        <v>0.30306674684305474</v>
      </c>
      <c r="AM20" s="184">
        <f>AM5/'Profit and Loss Highlights'!AM10</f>
        <v>8.1730769230769232E-2</v>
      </c>
      <c r="AN20" s="184">
        <f>AN5/'Profit and Loss Highlights'!AN10</f>
        <v>0.10669828097213989</v>
      </c>
      <c r="AO20" s="184">
        <f>AO5/'Profit and Loss Highlights'!AO10</f>
        <v>0.1597667638483965</v>
      </c>
      <c r="AP20" s="185">
        <f>AP5/'Profit and Loss Highlights'!AP10</f>
        <v>0.35663082437275984</v>
      </c>
      <c r="AQ20" s="184">
        <f>AQ5/'Profit and Loss Highlights'!AQ10</f>
        <v>0.10070671378091872</v>
      </c>
      <c r="AR20" s="184">
        <f>AR5/'Profit and Loss Highlights'!AR10</f>
        <v>0.13787185354691076</v>
      </c>
      <c r="AS20" s="184">
        <f>AS5/'Profit and Loss Highlights'!AS10</f>
        <v>0.15384615384615385</v>
      </c>
      <c r="AT20" s="184">
        <f>AT5/'Profit and Loss Highlights'!AT10</f>
        <v>0.23982152816508645</v>
      </c>
      <c r="AU20" s="184">
        <f>AU5/'Profit and Loss Highlights'!AU10</f>
        <v>7.2869955156950675E-2</v>
      </c>
      <c r="AV20" s="184">
        <f>AV5/'Profit and Loss Highlights'!AV10</f>
        <v>9.3310848791455875E-2</v>
      </c>
      <c r="AW20" s="184">
        <f>AW5/'Profit and Loss Highlights'!AW10</f>
        <v>0.11904761904761904</v>
      </c>
      <c r="AX20" s="184">
        <f>AX5/'Profit and Loss Highlights'!AX10</f>
        <v>0.16404128191200434</v>
      </c>
      <c r="AY20" s="184">
        <f>AY5/'Profit and Loss Highlights'!AY10</f>
        <v>5.7640021750951606E-2</v>
      </c>
      <c r="AZ20" s="184">
        <f>AZ5/'Profit and Loss Highlights'!AZ10</f>
        <v>6.2736614386154674E-2</v>
      </c>
      <c r="BA20" s="184">
        <f>BA5/'Profit and Loss Highlights'!BA10</f>
        <v>7.5553157042633573E-2</v>
      </c>
      <c r="BB20" s="184">
        <f>BB5/'Profit and Loss Highlights'!BB10</f>
        <v>0.16711301553294056</v>
      </c>
    </row>
    <row r="21" spans="2:56" x14ac:dyDescent="0.25">
      <c r="AC21" s="38"/>
      <c r="AD21" s="38"/>
    </row>
    <row r="22" spans="2:56" x14ac:dyDescent="0.25">
      <c r="B22" s="38" t="s">
        <v>77</v>
      </c>
      <c r="AC22" s="38"/>
      <c r="AD22" s="38"/>
    </row>
    <row r="23" spans="2:56" ht="13.8" thickBot="1" x14ac:dyDescent="0.3">
      <c r="AC23" s="38"/>
      <c r="AD23" s="38"/>
    </row>
    <row r="24" spans="2:56" ht="13.8" thickBot="1" x14ac:dyDescent="0.3">
      <c r="B24" s="38" t="s">
        <v>204</v>
      </c>
      <c r="C24" s="94"/>
      <c r="D24" s="94"/>
      <c r="E24" s="94"/>
      <c r="F24" s="94"/>
      <c r="G24" s="94"/>
      <c r="H24" s="94"/>
      <c r="I24" s="94"/>
      <c r="J24" s="94"/>
      <c r="K24" s="94"/>
      <c r="L24" s="94"/>
      <c r="M24" s="94"/>
      <c r="N24" s="94"/>
      <c r="O24" s="244">
        <f>O9/('Profit and Loss Highlights'!O60*4)</f>
        <v>1.7640878701050622</v>
      </c>
      <c r="P24" s="244">
        <f>P9/('Profit and Loss Highlights'!P60*4)</f>
        <v>1.8192552225249774</v>
      </c>
      <c r="Q24" s="244">
        <f>Q9/('Profit and Loss Highlights'!Q60*4)</f>
        <v>1.9103819784524976</v>
      </c>
      <c r="R24" s="244">
        <f>R9/('Profit and Loss Highlights'!R60*4)</f>
        <v>1.6854561101549053</v>
      </c>
      <c r="S24" s="244">
        <f>S9/('Profit and Loss Highlights'!S60*4)</f>
        <v>1.6300494641384995</v>
      </c>
      <c r="T24" s="244">
        <f>T9/('Profit and Loss Highlights'!T60*4)</f>
        <v>1.8519047619047619</v>
      </c>
      <c r="U24" s="244">
        <f>U9/('Profit and Loss Highlights'!U60*4)</f>
        <v>1.6823008849557521</v>
      </c>
      <c r="V24" s="245">
        <f>V9/('Profit and Loss Highlights'!V60*4)</f>
        <v>1.8503886010362693</v>
      </c>
      <c r="W24" s="205">
        <f>W9/('Profit and Loss Highlights'!W60*4)</f>
        <v>2.1480750246791707</v>
      </c>
      <c r="X24" s="205">
        <f>X9/('Profit and Loss Highlights'!X60*4)</f>
        <v>1.9646666666666666</v>
      </c>
      <c r="Y24" s="205">
        <f>Y9/('Profit and Loss Highlights'!Y60*4)</f>
        <v>1.6023444544634806</v>
      </c>
      <c r="Z24" s="205">
        <f>Z9/('Profit and Loss Highlights'!Z60*4)</f>
        <v>1.6590480678605088</v>
      </c>
      <c r="AA24" s="205">
        <f>AA9/('Profit and Loss Highlights'!AA60*4)</f>
        <v>1.770772238514174</v>
      </c>
      <c r="AB24" s="205">
        <f>AB9/('Profit and Loss Highlights'!AB60*4)</f>
        <v>1.7658887785501489</v>
      </c>
      <c r="AC24" s="205">
        <f>AC9/('Profit and Loss Highlights'!AC60*4)</f>
        <v>1.68</v>
      </c>
      <c r="AD24" s="205">
        <f>AD9/('Profit and Loss Highlights'!AD60*4)</f>
        <v>2.32250656167979</v>
      </c>
      <c r="AE24" s="205">
        <f>AE9/('Profit and Loss Highlights'!AE60*4)</f>
        <v>2.1087067209775969</v>
      </c>
      <c r="AF24" s="205">
        <f>AF9/('Profit and Loss Highlights'!AF60*4)</f>
        <v>2.078476482617587</v>
      </c>
      <c r="AG24" s="205">
        <f>AG9/('Profit and Loss Highlights'!AG60*4)</f>
        <v>1.9929006085192698</v>
      </c>
      <c r="AH24" s="205">
        <f>AH9/('Profit and Loss Highlights'!AH60*4)</f>
        <v>2.2145502645502644</v>
      </c>
      <c r="AI24" s="205">
        <f>AI9/('Profit and Loss Highlights'!AI60*4)</f>
        <v>2.1297669491525424</v>
      </c>
      <c r="AJ24" s="205">
        <f>AJ9/('Profit and Loss Highlights'!AJ60*4)</f>
        <v>2.2009594882729213</v>
      </c>
      <c r="AK24" s="205">
        <f>AK9/('Profit and Loss Highlights'!AK60*4)</f>
        <v>2.1702518363064009</v>
      </c>
      <c r="AL24" s="205">
        <f>AL9/('Profit and Loss Highlights'!AL60*4)</f>
        <v>2.4472402597402598</v>
      </c>
      <c r="AM24" s="205">
        <f>AM9/('Profit and Loss Highlights'!AM60*4)</f>
        <v>2.3777315296566077</v>
      </c>
      <c r="AN24" s="205">
        <f>AN9/('Profit and Loss Highlights'!AN60*4)</f>
        <v>2.2520080321285141</v>
      </c>
      <c r="AO24" s="205">
        <f>AO9/('Profit and Loss Highlights'!AO60*4)</f>
        <v>2.2848297213622293</v>
      </c>
      <c r="AP24" s="205">
        <f>AP9/('Profit and Loss Highlights'!AP60*4)</f>
        <v>2.3892167381974247</v>
      </c>
      <c r="AQ24" s="205">
        <f>AQ9/('Profit and Loss Highlights'!AQ60*4)</f>
        <v>2.5364077669902914</v>
      </c>
      <c r="AR24" s="205">
        <f>AR9/('Profit and Loss Highlights'!AR60*4)</f>
        <v>2.2336956521739131</v>
      </c>
      <c r="AS24" s="205">
        <f>AS9/('Profit and Loss Highlights'!AS60*4)</f>
        <v>2.2766434262948207</v>
      </c>
      <c r="AT24" s="205">
        <f>AT9/('Profit and Loss Highlights'!AT60*4)</f>
        <v>2.3420385395537524</v>
      </c>
      <c r="AU24" s="205">
        <f>AU9/('Profit and Loss Highlights'!AU60*4)</f>
        <v>2.5249485596707819</v>
      </c>
      <c r="AV24" s="205">
        <f>AV9/('Profit and Loss Highlights'!AV60*4)</f>
        <v>2.3804890219560879</v>
      </c>
      <c r="AW24" s="205">
        <f>AW9/('Profit and Loss Highlights'!AW60*4)</f>
        <v>2.4416038751345535</v>
      </c>
      <c r="AX24" s="205">
        <f>AX9/('Profit and Loss Highlights'!AX60*4)</f>
        <v>2.1766792809839166</v>
      </c>
      <c r="AY24" s="205">
        <f>AY9/('Profit and Loss Highlights'!AY60*4)</f>
        <v>2.1305076628352491</v>
      </c>
      <c r="AZ24" s="205">
        <f>AZ9/('Profit and Loss Highlights'!AZ60*4)</f>
        <v>2.0368068833652009</v>
      </c>
      <c r="BA24" s="205">
        <f>BA9/('Profit and Loss Highlights'!BA60*4)</f>
        <v>2.0188454198473282</v>
      </c>
      <c r="BB24" s="205">
        <f>BB9/('Profit and Loss Highlights'!BB60*4)</f>
        <v>2.2421239837398375</v>
      </c>
    </row>
    <row r="25" spans="2:56" x14ac:dyDescent="0.25">
      <c r="B25" s="38" t="s">
        <v>79</v>
      </c>
      <c r="O25" s="185"/>
      <c r="P25" s="185"/>
      <c r="Q25" s="185"/>
      <c r="R25" s="185"/>
      <c r="S25" s="185">
        <f t="shared" ref="S25:AK25" si="10">S9/O9-1</f>
        <v>7.0519761775852841E-2</v>
      </c>
      <c r="T25" s="185">
        <f t="shared" si="10"/>
        <v>-2.9206190713929159E-2</v>
      </c>
      <c r="U25" s="185">
        <f t="shared" si="10"/>
        <v>-2.537810817739039E-2</v>
      </c>
      <c r="V25" s="185">
        <f t="shared" si="10"/>
        <v>9.4077099821291865E-2</v>
      </c>
      <c r="W25" s="185">
        <f t="shared" si="10"/>
        <v>0.10051839676318108</v>
      </c>
      <c r="X25" s="185">
        <f t="shared" si="10"/>
        <v>0.13666752378503477</v>
      </c>
      <c r="Y25" s="185">
        <f t="shared" si="10"/>
        <v>-6.5228826933193096E-2</v>
      </c>
      <c r="Z25" s="185">
        <f t="shared" si="10"/>
        <v>-0.17850892544627228</v>
      </c>
      <c r="AA25" s="185">
        <f t="shared" si="10"/>
        <v>-0.16750919117647056</v>
      </c>
      <c r="AB25" s="185">
        <f t="shared" si="10"/>
        <v>-0.19545300305395319</v>
      </c>
      <c r="AC25" s="185">
        <f t="shared" si="10"/>
        <v>-3.0951041080472752E-2</v>
      </c>
      <c r="AD25" s="185">
        <f t="shared" si="10"/>
        <v>5.3969606589971963E-3</v>
      </c>
      <c r="AE25" s="185">
        <f t="shared" si="10"/>
        <v>0.14311344189897879</v>
      </c>
      <c r="AF25" s="185">
        <f t="shared" si="10"/>
        <v>0.14311823421903558</v>
      </c>
      <c r="AG25" s="185">
        <f t="shared" si="10"/>
        <v>0.14111498257839727</v>
      </c>
      <c r="AH25" s="185">
        <f t="shared" si="10"/>
        <v>0.18251165418844462</v>
      </c>
      <c r="AI25" s="185">
        <f t="shared" si="10"/>
        <v>-2.9095738259084847E-2</v>
      </c>
      <c r="AJ25" s="185">
        <f t="shared" si="10"/>
        <v>1.5619235026441913E-2</v>
      </c>
      <c r="AK25" s="185">
        <f t="shared" si="10"/>
        <v>5.2544529262086526E-2</v>
      </c>
      <c r="AL25" s="184">
        <f t="shared" ref="AL25:BB25" si="11">AL9/AH9-1</f>
        <v>8.0516067375463019E-2</v>
      </c>
      <c r="AM25" s="184">
        <f t="shared" si="11"/>
        <v>0.13653320069634423</v>
      </c>
      <c r="AN25" s="184">
        <f t="shared" si="11"/>
        <v>8.6461612981351355E-2</v>
      </c>
      <c r="AO25" s="184">
        <f t="shared" si="11"/>
        <v>7.0470204278979764E-2</v>
      </c>
      <c r="AP25" s="185">
        <f t="shared" si="11"/>
        <v>-1.5257048092868986E-2</v>
      </c>
      <c r="AQ25" s="185">
        <f t="shared" si="11"/>
        <v>2.8993435448577687E-2</v>
      </c>
      <c r="AR25" s="184">
        <f t="shared" si="11"/>
        <v>7.8020508247882425E-3</v>
      </c>
      <c r="AS25" s="184">
        <f t="shared" si="11"/>
        <v>3.240740740740744E-2</v>
      </c>
      <c r="AT25" s="184">
        <f t="shared" si="11"/>
        <v>3.7049511620074194E-2</v>
      </c>
      <c r="AU25" s="184">
        <f t="shared" si="11"/>
        <v>4.3806485911749071E-2</v>
      </c>
      <c r="AV25" s="184">
        <f t="shared" si="11"/>
        <v>5.5186905551869003E-2</v>
      </c>
      <c r="AW25" s="184">
        <f t="shared" si="11"/>
        <v>-7.656130372962977E-3</v>
      </c>
      <c r="AX25" s="184">
        <f t="shared" si="11"/>
        <v>-3.6808487604200746E-3</v>
      </c>
      <c r="AY25" s="184">
        <f t="shared" si="11"/>
        <v>-9.3714984211062391E-2</v>
      </c>
      <c r="AZ25" s="184">
        <f t="shared" si="11"/>
        <v>-0.10680222198930933</v>
      </c>
      <c r="BA25" s="184">
        <f t="shared" si="11"/>
        <v>-6.7232447922407124E-2</v>
      </c>
      <c r="BB25" s="184">
        <f t="shared" si="11"/>
        <v>-4.107356296859721E-2</v>
      </c>
    </row>
    <row r="26" spans="2:56" x14ac:dyDescent="0.25">
      <c r="B26" s="38" t="s">
        <v>80</v>
      </c>
      <c r="P26" s="206">
        <f t="shared" ref="P26:V26" si="12">P9-O9</f>
        <v>624</v>
      </c>
      <c r="Q26" s="206">
        <f t="shared" si="12"/>
        <v>-210</v>
      </c>
      <c r="R26" s="206">
        <f t="shared" si="12"/>
        <v>32</v>
      </c>
      <c r="S26" s="206">
        <f t="shared" si="12"/>
        <v>75</v>
      </c>
      <c r="T26" s="206">
        <f t="shared" si="12"/>
        <v>-131</v>
      </c>
      <c r="U26" s="206">
        <f t="shared" si="12"/>
        <v>-174</v>
      </c>
      <c r="V26" s="206">
        <f t="shared" si="12"/>
        <v>967</v>
      </c>
      <c r="W26" s="206">
        <f t="shared" ref="W26:AH26" si="13">W9-V9</f>
        <v>133</v>
      </c>
      <c r="X26" s="206">
        <f t="shared" si="13"/>
        <v>137</v>
      </c>
      <c r="Y26" s="206">
        <f t="shared" si="13"/>
        <v>-1733</v>
      </c>
      <c r="Z26" s="206">
        <f t="shared" si="13"/>
        <v>-67</v>
      </c>
      <c r="AA26" s="206">
        <f t="shared" si="13"/>
        <v>205</v>
      </c>
      <c r="AB26" s="206">
        <f t="shared" si="13"/>
        <v>-133</v>
      </c>
      <c r="AC26" s="206">
        <f t="shared" si="13"/>
        <v>-225</v>
      </c>
      <c r="AD26" s="206">
        <f t="shared" si="13"/>
        <v>191</v>
      </c>
      <c r="AE26" s="206">
        <f t="shared" si="13"/>
        <v>1204</v>
      </c>
      <c r="AF26" s="206">
        <f t="shared" si="13"/>
        <v>-152</v>
      </c>
      <c r="AG26" s="206">
        <f t="shared" si="13"/>
        <v>-271</v>
      </c>
      <c r="AH26" s="206">
        <f t="shared" si="13"/>
        <v>511</v>
      </c>
      <c r="AI26" s="206">
        <f t="shared" ref="AI26:AN26" si="14">AI9-AH9</f>
        <v>-329</v>
      </c>
      <c r="AJ26" s="206">
        <f t="shared" si="14"/>
        <v>216</v>
      </c>
      <c r="AK26" s="206">
        <f t="shared" si="14"/>
        <v>15</v>
      </c>
      <c r="AL26" s="206">
        <f t="shared" si="14"/>
        <v>772</v>
      </c>
      <c r="AM26" s="206">
        <f t="shared" si="14"/>
        <v>95</v>
      </c>
      <c r="AN26" s="206">
        <f t="shared" si="14"/>
        <v>-168</v>
      </c>
      <c r="AO26" s="206">
        <f t="shared" ref="AO26:BB26" si="15">AO9-AN9</f>
        <v>-116</v>
      </c>
      <c r="AP26" s="206">
        <f t="shared" si="15"/>
        <v>51</v>
      </c>
      <c r="AQ26" s="206">
        <f t="shared" si="15"/>
        <v>498</v>
      </c>
      <c r="AR26" s="206">
        <f t="shared" si="15"/>
        <v>-363</v>
      </c>
      <c r="AS26" s="206">
        <f t="shared" si="15"/>
        <v>101</v>
      </c>
      <c r="AT26" s="206">
        <f t="shared" si="15"/>
        <v>94</v>
      </c>
      <c r="AU26" s="206">
        <f t="shared" si="15"/>
        <v>580</v>
      </c>
      <c r="AV26" s="206">
        <f t="shared" si="15"/>
        <v>-276</v>
      </c>
      <c r="AW26" s="206">
        <f t="shared" si="15"/>
        <v>-468</v>
      </c>
      <c r="AX26" s="206">
        <f t="shared" si="15"/>
        <v>130</v>
      </c>
      <c r="AY26" s="206">
        <f t="shared" si="15"/>
        <v>-306</v>
      </c>
      <c r="AZ26" s="206">
        <f t="shared" si="15"/>
        <v>-375</v>
      </c>
      <c r="BA26" s="206">
        <f t="shared" si="15"/>
        <v>-59</v>
      </c>
      <c r="BB26" s="206">
        <f t="shared" si="15"/>
        <v>362</v>
      </c>
    </row>
    <row r="27" spans="2:56" x14ac:dyDescent="0.25">
      <c r="B27" s="37"/>
      <c r="AC27" s="38"/>
      <c r="AD27" s="38"/>
    </row>
    <row r="28" spans="2:56" x14ac:dyDescent="0.25">
      <c r="B28" s="207"/>
      <c r="C28" s="192"/>
      <c r="D28" s="192"/>
      <c r="E28" s="192"/>
      <c r="F28" s="192"/>
      <c r="G28" s="192"/>
      <c r="H28" s="192"/>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2"/>
      <c r="AH28" s="192"/>
      <c r="AI28" s="192"/>
      <c r="AJ28" s="192"/>
      <c r="AK28" s="192"/>
      <c r="AL28" s="192"/>
      <c r="AM28" s="192"/>
      <c r="AN28" s="192"/>
      <c r="AO28" s="192"/>
      <c r="AP28" s="192"/>
      <c r="AQ28" s="192"/>
      <c r="AR28" s="192"/>
      <c r="AS28" s="192"/>
      <c r="AT28" s="192"/>
      <c r="AU28" s="192"/>
      <c r="AV28" s="192"/>
      <c r="AW28" s="192"/>
      <c r="AX28" s="192"/>
      <c r="AY28" s="192"/>
      <c r="AZ28" s="192"/>
      <c r="BA28" s="192"/>
      <c r="BB28" s="192"/>
      <c r="BC28" s="189"/>
    </row>
    <row r="29" spans="2:56" x14ac:dyDescent="0.25">
      <c r="B29" s="106" t="s">
        <v>106</v>
      </c>
      <c r="C29" s="208">
        <f>'Profit and Loss Highlights'!C55-'Key Balance Sheet &amp; CFlow Items'!C5</f>
        <v>1054.6174999999998</v>
      </c>
      <c r="D29" s="208">
        <f>'Profit and Loss Highlights'!D55-'Key Balance Sheet &amp; CFlow Items'!D5</f>
        <v>929.94250000000011</v>
      </c>
      <c r="E29" s="208">
        <f>'Profit and Loss Highlights'!E55-'Key Balance Sheet &amp; CFlow Items'!E5</f>
        <v>909.81600000000003</v>
      </c>
      <c r="F29" s="208">
        <f>'Profit and Loss Highlights'!F55-'Key Balance Sheet &amp; CFlow Items'!F5</f>
        <v>474.37200000000007</v>
      </c>
      <c r="G29" s="208">
        <f>'Profit and Loss Highlights'!G55-'Key Balance Sheet &amp; CFlow Items'!G5</f>
        <v>930.61400000000003</v>
      </c>
      <c r="H29" s="208">
        <f>'Profit and Loss Highlights'!H55-'Key Balance Sheet &amp; CFlow Items'!H5</f>
        <v>949.8599999999999</v>
      </c>
      <c r="I29" s="208">
        <f>'Profit and Loss Highlights'!I55-'Key Balance Sheet &amp; CFlow Items'!I5</f>
        <v>1012.085</v>
      </c>
      <c r="J29" s="208">
        <f>'Profit and Loss Highlights'!J55-'Key Balance Sheet &amp; CFlow Items'!J5</f>
        <v>813.86400000000003</v>
      </c>
      <c r="K29" s="208">
        <f>'Profit and Loss Highlights'!K55-'Key Balance Sheet &amp; CFlow Items'!K5</f>
        <v>954.95399999999995</v>
      </c>
      <c r="L29" s="208">
        <f>'Profit and Loss Highlights'!L55-'Key Balance Sheet &amp; CFlow Items'!L5</f>
        <v>931.03400000000011</v>
      </c>
      <c r="M29" s="208">
        <f>'Profit and Loss Highlights'!M55-'Key Balance Sheet &amp; CFlow Items'!M5</f>
        <v>741.96</v>
      </c>
      <c r="N29" s="208">
        <f>'Profit and Loss Highlights'!N55-'Key Balance Sheet &amp; CFlow Items'!N5</f>
        <v>469.9559999999999</v>
      </c>
      <c r="O29" s="208">
        <f>'Profit and Loss Highlights'!O55-'Key Balance Sheet &amp; CFlow Items'!O5</f>
        <v>938.03199999999993</v>
      </c>
      <c r="P29" s="208">
        <f>'Profit and Loss Highlights'!P55-'Key Balance Sheet &amp; CFlow Items'!P5</f>
        <v>850.02</v>
      </c>
      <c r="Q29" s="208">
        <f>'Profit and Loss Highlights'!Q55-'Key Balance Sheet &amp; CFlow Items'!Q5</f>
        <v>752</v>
      </c>
      <c r="R29" s="208">
        <f>'Profit and Loss Highlights'!R55-'Key Balance Sheet &amp; CFlow Items'!R5</f>
        <v>582</v>
      </c>
      <c r="S29" s="208">
        <f>'Profit and Loss Highlights'!S55-'Key Balance Sheet &amp; CFlow Items'!S5</f>
        <v>1002</v>
      </c>
      <c r="T29" s="208">
        <f>'Profit and Loss Highlights'!T55-'Key Balance Sheet &amp; CFlow Items'!T5</f>
        <v>677</v>
      </c>
      <c r="U29" s="208">
        <f>'Profit and Loss Highlights'!U55-'Key Balance Sheet &amp; CFlow Items'!U5</f>
        <v>895</v>
      </c>
      <c r="V29" s="208">
        <f>'Profit and Loss Highlights'!V55-'Key Balance Sheet &amp; CFlow Items'!V5</f>
        <v>739</v>
      </c>
      <c r="W29" s="208">
        <f>'Profit and Loss Highlights'!W55-'Key Balance Sheet &amp; CFlow Items'!W5</f>
        <v>862</v>
      </c>
      <c r="X29" s="208">
        <f>'Profit and Loss Highlights'!X55-'Key Balance Sheet &amp; CFlow Items'!X5</f>
        <v>795</v>
      </c>
      <c r="Y29" s="208">
        <f>'Profit and Loss Highlights'!Y55-'Key Balance Sheet &amp; CFlow Items'!Y5</f>
        <v>846</v>
      </c>
      <c r="Z29" s="208">
        <f>'Profit and Loss Highlights'!Z55-'Key Balance Sheet &amp; CFlow Items'!Z5</f>
        <v>664</v>
      </c>
      <c r="AA29" s="208">
        <f>'Profit and Loss Highlights'!AA55-'Key Balance Sheet &amp; CFlow Items'!AA5</f>
        <v>913</v>
      </c>
      <c r="AB29" s="208">
        <f>'Profit and Loss Highlights'!AB55-'Key Balance Sheet &amp; CFlow Items'!AB5</f>
        <v>795</v>
      </c>
      <c r="AC29" s="208">
        <f>'Profit and Loss Highlights'!AC55-'Key Balance Sheet &amp; CFlow Items'!AC5</f>
        <v>852</v>
      </c>
      <c r="AD29" s="208">
        <f>'Profit and Loss Highlights'!AD55-'Key Balance Sheet &amp; CFlow Items'!AD5</f>
        <v>245</v>
      </c>
      <c r="AE29" s="208">
        <f>'Profit and Loss Highlights'!AE55-'Key Balance Sheet &amp; CFlow Items'!AE5</f>
        <v>864</v>
      </c>
      <c r="AF29" s="208">
        <f>'Profit and Loss Highlights'!AF55-'Key Balance Sheet &amp; CFlow Items'!AF5</f>
        <v>718</v>
      </c>
      <c r="AG29" s="208">
        <f>'Profit and Loss Highlights'!AG55-'Key Balance Sheet &amp; CFlow Items'!AG5</f>
        <v>763</v>
      </c>
      <c r="AH29" s="208">
        <f>'Profit and Loss Highlights'!AH55-'Key Balance Sheet &amp; CFlow Items'!AH5</f>
        <v>368</v>
      </c>
      <c r="AI29" s="208">
        <f>'Profit and Loss Highlights'!AI55-'Key Balance Sheet &amp; CFlow Items'!AI5</f>
        <v>799</v>
      </c>
      <c r="AJ29" s="208">
        <f>'Profit and Loss Highlights'!AJ55-'Key Balance Sheet &amp; CFlow Items'!AJ5</f>
        <v>687</v>
      </c>
      <c r="AK29" s="208">
        <f>'Profit and Loss Highlights'!AK55-'Key Balance Sheet &amp; CFlow Items'!AK5</f>
        <v>648</v>
      </c>
      <c r="AL29" s="208">
        <f>'Profit and Loss Highlights'!AL55-'Key Balance Sheet &amp; CFlow Items'!AL5</f>
        <v>435</v>
      </c>
      <c r="AM29" s="208">
        <f>'Profit and Loss Highlights'!AM55-'Key Balance Sheet &amp; CFlow Items'!AM5</f>
        <v>825</v>
      </c>
      <c r="AN29" s="208">
        <f>'Profit and Loss Highlights'!AN55-'Key Balance Sheet &amp; CFlow Items'!AN5</f>
        <v>826</v>
      </c>
      <c r="AO29" s="208">
        <f>'Profit and Loss Highlights'!AO55-'Key Balance Sheet &amp; CFlow Items'!AO5</f>
        <v>703</v>
      </c>
      <c r="AP29" s="208">
        <f>'Profit and Loss Highlights'!AP55-'Key Balance Sheet &amp; CFlow Items'!AP5</f>
        <v>335</v>
      </c>
      <c r="AQ29" s="208">
        <f>'Profit and Loss Highlights'!AQ55-'Key Balance Sheet &amp; CFlow Items'!AQ5</f>
        <v>756</v>
      </c>
      <c r="AR29" s="208">
        <f>'Profit and Loss Highlights'!AR55-'Key Balance Sheet &amp; CFlow Items'!AR5</f>
        <v>771</v>
      </c>
      <c r="AS29" s="208">
        <f>'Profit and Loss Highlights'!AS55-'Key Balance Sheet &amp; CFlow Items'!AS5</f>
        <v>732</v>
      </c>
      <c r="AT29" s="208">
        <f>'Profit and Loss Highlights'!AT55-'Key Balance Sheet &amp; CFlow Items'!AT5</f>
        <v>556</v>
      </c>
      <c r="AU29" s="208">
        <f>'Profit and Loss Highlights'!AU55-'Key Balance Sheet &amp; CFlow Items'!AU5</f>
        <v>842</v>
      </c>
      <c r="AV29" s="208">
        <f>'Profit and Loss Highlights'!AV55-'Key Balance Sheet &amp; CFlow Items'!AV5</f>
        <v>836</v>
      </c>
      <c r="AW29" s="208">
        <f>'Profit and Loss Highlights'!AW55-'Key Balance Sheet &amp; CFlow Items'!AW5</f>
        <v>714</v>
      </c>
      <c r="AX29" s="208">
        <f>'Profit and Loss Highlights'!AX55-'Key Balance Sheet &amp; CFlow Items'!AX5</f>
        <v>755</v>
      </c>
      <c r="AY29" s="208">
        <f>'Profit and Loss Highlights'!AY55-'Key Balance Sheet &amp; CFlow Items'!AY5</f>
        <v>938</v>
      </c>
      <c r="AZ29" s="208">
        <f>'Profit and Loss Highlights'!AZ55-'Key Balance Sheet &amp; CFlow Items'!AZ5</f>
        <v>930</v>
      </c>
      <c r="BA29" s="208">
        <f>'Profit and Loss Highlights'!BA55-'Key Balance Sheet &amp; CFlow Items'!BA5</f>
        <v>908</v>
      </c>
      <c r="BB29" s="208">
        <f>'Profit and Loss Highlights'!BB55-'Key Balance Sheet &amp; CFlow Items'!BB5</f>
        <v>672</v>
      </c>
    </row>
    <row r="30" spans="2:56" x14ac:dyDescent="0.25">
      <c r="B30" s="38" t="s">
        <v>104</v>
      </c>
      <c r="C30" s="185">
        <f>C29/'Profit and Loss Highlights'!C32</f>
        <v>0.49396604215456669</v>
      </c>
      <c r="D30" s="185">
        <f>D29/'Profit and Loss Highlights'!D32</f>
        <v>0.41832771030139454</v>
      </c>
      <c r="E30" s="185">
        <f>E29/'Profit and Loss Highlights'!E32</f>
        <v>0.4105667870036101</v>
      </c>
      <c r="F30" s="185">
        <f>F29/'Profit and Loss Highlights'!F32</f>
        <v>0.20571205550737209</v>
      </c>
      <c r="G30" s="185">
        <f>G29/'Profit and Loss Highlights'!G32</f>
        <v>0.39992006875805758</v>
      </c>
      <c r="H30" s="185">
        <f>H29/'Profit and Loss Highlights'!H32</f>
        <v>0.41388235294117642</v>
      </c>
      <c r="I30" s="185">
        <f>I29/'Profit and Loss Highlights'!I32</f>
        <v>0.45202545779365788</v>
      </c>
      <c r="J30" s="185">
        <f>J29/'Profit and Loss Highlights'!J32</f>
        <v>0.36594604316546764</v>
      </c>
      <c r="K30" s="185">
        <f>K29/'Profit and Loss Highlights'!K32</f>
        <v>0.45066257668711657</v>
      </c>
      <c r="L30" s="185">
        <f>L29/'Profit and Loss Highlights'!L32</f>
        <v>0.44718251681075893</v>
      </c>
      <c r="M30" s="185">
        <f>M29/'Profit and Loss Highlights'!M32</f>
        <v>0.35930266343825668</v>
      </c>
      <c r="N30" s="185">
        <f>N29/'Profit and Loss Highlights'!N32</f>
        <v>0.22136410739519544</v>
      </c>
      <c r="O30" s="185">
        <f>O29/'Profit and Loss Highlights'!O32</f>
        <v>0.4364969753373662</v>
      </c>
      <c r="P30" s="185">
        <f>P29/'Profit and Loss Highlights'!P32</f>
        <v>0.40285308056872038</v>
      </c>
      <c r="Q30" s="185">
        <f>Q29/'Profit and Loss Highlights'!Q32</f>
        <v>0.34718374884579872</v>
      </c>
      <c r="R30" s="185">
        <f>R29/'Profit and Loss Highlights'!R32</f>
        <v>0.26746323529411764</v>
      </c>
      <c r="S30" s="185">
        <f>S29/'Profit and Loss Highlights'!S32</f>
        <v>0.46822429906542057</v>
      </c>
      <c r="T30" s="185">
        <f>T29/'Profit and Loss Highlights'!T32</f>
        <v>0.32207421503330164</v>
      </c>
      <c r="U30" s="185">
        <f>U29/'Profit and Loss Highlights'!U32</f>
        <v>0.41512059369202226</v>
      </c>
      <c r="V30" s="185">
        <f>V29/'Profit and Loss Highlights'!V32</f>
        <v>0.33378500451671184</v>
      </c>
      <c r="W30" s="185">
        <f>W29/'Profit and Loss Highlights'!W32</f>
        <v>0.36294736842105263</v>
      </c>
      <c r="X30" s="185">
        <f>X29/'Profit and Loss Highlights'!X32</f>
        <v>0.34047109207708781</v>
      </c>
      <c r="Y30" s="185">
        <f>Y29/'Profit and Loss Highlights'!Y32</f>
        <v>0.36262323189027001</v>
      </c>
      <c r="Z30" s="184">
        <f>Z29/'Profit and Loss Highlights'!Z32</f>
        <v>0.27946127946127947</v>
      </c>
      <c r="AA30" s="184">
        <f>AA29/'Profit and Loss Highlights'!AA32</f>
        <v>0.40813589628967367</v>
      </c>
      <c r="AB30" s="184">
        <f>AB29/'Profit and Loss Highlights'!AB32</f>
        <v>0.35396260017809439</v>
      </c>
      <c r="AC30" s="184">
        <f>AC29/'Profit and Loss Highlights'!AC32</f>
        <v>0.37632508833922262</v>
      </c>
      <c r="AD30" s="184">
        <f>AD29/'Profit and Loss Highlights'!AD32</f>
        <v>0.10020449897750511</v>
      </c>
      <c r="AE30" s="184">
        <f>AE29/'Profit and Loss Highlights'!AE32</f>
        <v>0.38709677419354838</v>
      </c>
      <c r="AF30" s="184">
        <f>AF29/'Profit and Loss Highlights'!AF32</f>
        <v>0.32547597461468719</v>
      </c>
      <c r="AG30" s="184">
        <f>AG29/'Profit and Loss Highlights'!AG32</f>
        <v>0.33391684901531726</v>
      </c>
      <c r="AH30" s="184">
        <f>AH29/'Profit and Loss Highlights'!AH32</f>
        <v>0.14208494208494207</v>
      </c>
      <c r="AI30" s="184">
        <f>AI29/'Profit and Loss Highlights'!AI32</f>
        <v>0.34130713370354548</v>
      </c>
      <c r="AJ30" s="184">
        <f>AJ29/'Profit and Loss Highlights'!AJ32</f>
        <v>0.31938633193863319</v>
      </c>
      <c r="AK30" s="184">
        <f>AK29/'Profit and Loss Highlights'!AK32</f>
        <v>0.29281518300948939</v>
      </c>
      <c r="AL30" s="184">
        <f>AL29/'Profit and Loss Highlights'!AL32</f>
        <v>0.19239274657231314</v>
      </c>
      <c r="AM30" s="184">
        <f>AM29/'Profit and Loss Highlights'!AM32</f>
        <v>0.36830357142857145</v>
      </c>
      <c r="AN30" s="184">
        <f>AN29/'Profit and Loss Highlights'!AN32</f>
        <v>0.36323658751099386</v>
      </c>
      <c r="AO30" s="184">
        <f>AO29/'Profit and Loss Highlights'!AO32</f>
        <v>0.30955526199911931</v>
      </c>
      <c r="AP30" s="185">
        <f>AP29/'Profit and Loss Highlights'!AP32</f>
        <v>0.13640065146579805</v>
      </c>
      <c r="AQ30" s="185">
        <f>AQ29/'Profit and Loss Highlights'!AQ32</f>
        <v>0.31421446384039903</v>
      </c>
      <c r="AR30" s="184">
        <f>AR29/'Profit and Loss Highlights'!AR32</f>
        <v>0.31806930693069307</v>
      </c>
      <c r="AS30" s="184">
        <f>AS29/'Profit and Loss Highlights'!AS32</f>
        <v>0.30436590436590438</v>
      </c>
      <c r="AT30" s="184">
        <f>AT29/'Profit and Loss Highlights'!AT32</f>
        <v>0.21769772905246673</v>
      </c>
      <c r="AU30" s="184">
        <f>AU29/'Profit and Loss Highlights'!AU32</f>
        <v>0.33333333333333331</v>
      </c>
      <c r="AV30" s="184">
        <f>AV29/'Profit and Loss Highlights'!AV32</f>
        <v>0.33846153846153848</v>
      </c>
      <c r="AW30" s="184">
        <f>AW29/'Profit and Loss Highlights'!AW32</f>
        <v>0.29238329238329236</v>
      </c>
      <c r="AX30" s="184">
        <f>AX29/'Profit and Loss Highlights'!AX32</f>
        <v>0.275346462436178</v>
      </c>
      <c r="AY30" s="184">
        <f>AY29/'Profit and Loss Highlights'!AY32</f>
        <v>0.36035343834037648</v>
      </c>
      <c r="AZ30" s="184">
        <f>AZ29/'Profit and Loss Highlights'!AZ32</f>
        <v>0.35962877030162416</v>
      </c>
      <c r="BA30" s="184">
        <f>BA29/'Profit and Loss Highlights'!BA32</f>
        <v>0.35248447204968947</v>
      </c>
      <c r="BB30" s="184">
        <f>BB29/'Profit and Loss Highlights'!BB32</f>
        <v>0.24251172861782749</v>
      </c>
    </row>
    <row r="31" spans="2:56" x14ac:dyDescent="0.25">
      <c r="B31" s="38" t="s">
        <v>107</v>
      </c>
      <c r="C31" s="183"/>
      <c r="D31" s="183"/>
      <c r="E31" s="183"/>
      <c r="F31" s="183"/>
      <c r="G31" s="185">
        <f>G29/C29-1</f>
        <v>-0.11758149281611563</v>
      </c>
      <c r="H31" s="185">
        <f t="shared" ref="H31:Z31" si="16">H29/D29-1</f>
        <v>2.1417990897286465E-2</v>
      </c>
      <c r="I31" s="185">
        <f t="shared" si="16"/>
        <v>0.11240624477916406</v>
      </c>
      <c r="J31" s="185">
        <f t="shared" si="16"/>
        <v>0.7156661860312159</v>
      </c>
      <c r="K31" s="185">
        <f t="shared" si="16"/>
        <v>2.6154775234415117E-2</v>
      </c>
      <c r="L31" s="185">
        <f t="shared" si="16"/>
        <v>-1.981976291242904E-2</v>
      </c>
      <c r="M31" s="185">
        <f t="shared" si="16"/>
        <v>-0.2668995193091489</v>
      </c>
      <c r="N31" s="185">
        <f t="shared" si="16"/>
        <v>-0.4225620005308014</v>
      </c>
      <c r="O31" s="185">
        <f t="shared" si="16"/>
        <v>-1.772022526739514E-2</v>
      </c>
      <c r="P31" s="185">
        <f t="shared" si="16"/>
        <v>-8.7015082155968648E-2</v>
      </c>
      <c r="Q31" s="185">
        <f t="shared" si="16"/>
        <v>1.353172677772374E-2</v>
      </c>
      <c r="R31" s="185">
        <f t="shared" si="16"/>
        <v>0.23841380895232778</v>
      </c>
      <c r="S31" s="185">
        <f t="shared" si="16"/>
        <v>6.8193835604755559E-2</v>
      </c>
      <c r="T31" s="185">
        <f t="shared" si="16"/>
        <v>-0.20354815180819275</v>
      </c>
      <c r="U31" s="185">
        <f t="shared" si="16"/>
        <v>0.19015957446808507</v>
      </c>
      <c r="V31" s="185">
        <f t="shared" si="16"/>
        <v>0.26975945017182124</v>
      </c>
      <c r="W31" s="185">
        <f t="shared" si="16"/>
        <v>-0.13972055888223556</v>
      </c>
      <c r="X31" s="185">
        <f t="shared" si="16"/>
        <v>0.17429837518463809</v>
      </c>
      <c r="Y31" s="185">
        <f t="shared" si="16"/>
        <v>-5.4748603351955305E-2</v>
      </c>
      <c r="Z31" s="184">
        <f t="shared" si="16"/>
        <v>-0.10148849797023007</v>
      </c>
      <c r="AA31" s="184">
        <f t="shared" ref="AA31:AH31" si="17">AA29/W29-1</f>
        <v>5.9164733178654227E-2</v>
      </c>
      <c r="AB31" s="184">
        <f t="shared" si="17"/>
        <v>0</v>
      </c>
      <c r="AC31" s="184">
        <f t="shared" si="17"/>
        <v>7.0921985815601829E-3</v>
      </c>
      <c r="AD31" s="184">
        <f t="shared" si="17"/>
        <v>-0.63102409638554224</v>
      </c>
      <c r="AE31" s="184">
        <f t="shared" si="17"/>
        <v>-5.366922234392113E-2</v>
      </c>
      <c r="AF31" s="184">
        <f t="shared" si="17"/>
        <v>-9.6855345911949664E-2</v>
      </c>
      <c r="AG31" s="184">
        <f t="shared" si="17"/>
        <v>-0.10446009389671362</v>
      </c>
      <c r="AH31" s="184">
        <f t="shared" si="17"/>
        <v>0.50204081632653064</v>
      </c>
      <c r="AI31" s="184">
        <f t="shared" ref="AI31:BB31" si="18">AI29/AE29-1</f>
        <v>-7.523148148148151E-2</v>
      </c>
      <c r="AJ31" s="184">
        <f t="shared" si="18"/>
        <v>-4.3175487465181073E-2</v>
      </c>
      <c r="AK31" s="184">
        <f t="shared" si="18"/>
        <v>-0.15072083879423326</v>
      </c>
      <c r="AL31" s="184">
        <f t="shared" si="18"/>
        <v>0.18206521739130443</v>
      </c>
      <c r="AM31" s="184">
        <f t="shared" si="18"/>
        <v>3.2540675844805911E-2</v>
      </c>
      <c r="AN31" s="184">
        <f t="shared" si="18"/>
        <v>0.20232896652110632</v>
      </c>
      <c r="AO31" s="184">
        <f t="shared" si="18"/>
        <v>8.4876543209876587E-2</v>
      </c>
      <c r="AP31" s="185">
        <f t="shared" si="18"/>
        <v>-0.22988505747126442</v>
      </c>
      <c r="AQ31" s="185">
        <f t="shared" si="18"/>
        <v>-8.363636363636362E-2</v>
      </c>
      <c r="AR31" s="184">
        <f t="shared" si="18"/>
        <v>-6.658595641646492E-2</v>
      </c>
      <c r="AS31" s="184">
        <f t="shared" si="18"/>
        <v>4.1251778093883251E-2</v>
      </c>
      <c r="AT31" s="184">
        <f t="shared" si="18"/>
        <v>0.65970149253731347</v>
      </c>
      <c r="AU31" s="184">
        <f t="shared" si="18"/>
        <v>0.11375661375661372</v>
      </c>
      <c r="AV31" s="184">
        <f t="shared" si="18"/>
        <v>8.4306095979247653E-2</v>
      </c>
      <c r="AW31" s="184">
        <f t="shared" si="18"/>
        <v>-2.4590163934426257E-2</v>
      </c>
      <c r="AX31" s="184">
        <f t="shared" si="18"/>
        <v>0.3579136690647482</v>
      </c>
      <c r="AY31" s="184">
        <f t="shared" si="18"/>
        <v>0.11401425178147262</v>
      </c>
      <c r="AZ31" s="184">
        <f t="shared" si="18"/>
        <v>0.1124401913875599</v>
      </c>
      <c r="BA31" s="184">
        <f t="shared" si="18"/>
        <v>0.27170868347338928</v>
      </c>
      <c r="BB31" s="184">
        <f t="shared" si="18"/>
        <v>-0.10993377483443711</v>
      </c>
    </row>
    <row r="32" spans="2:56" x14ac:dyDescent="0.25">
      <c r="B32" s="147"/>
      <c r="C32" s="209"/>
      <c r="D32" s="209"/>
      <c r="E32" s="209"/>
      <c r="F32" s="209"/>
      <c r="G32" s="209"/>
      <c r="H32" s="209"/>
      <c r="I32" s="209"/>
      <c r="J32" s="209"/>
      <c r="K32" s="209"/>
      <c r="L32" s="209"/>
      <c r="M32" s="209"/>
      <c r="N32" s="209"/>
      <c r="O32" s="209"/>
      <c r="P32" s="209"/>
      <c r="Q32" s="209"/>
      <c r="R32" s="209"/>
      <c r="S32" s="209"/>
      <c r="T32" s="209"/>
      <c r="U32" s="209"/>
      <c r="V32" s="209"/>
      <c r="W32" s="209"/>
      <c r="X32" s="209"/>
      <c r="Y32" s="209"/>
      <c r="Z32" s="209"/>
      <c r="AA32" s="209"/>
      <c r="AB32" s="209"/>
      <c r="AC32" s="209"/>
      <c r="AD32" s="209"/>
      <c r="AE32" s="209"/>
      <c r="AF32" s="209"/>
      <c r="AG32" s="209"/>
      <c r="AH32" s="209"/>
      <c r="AI32" s="209"/>
      <c r="AJ32" s="209"/>
      <c r="AK32" s="209"/>
      <c r="AL32" s="209"/>
      <c r="AM32" s="209"/>
      <c r="AN32" s="209"/>
      <c r="AO32" s="209"/>
      <c r="AP32" s="209"/>
      <c r="AQ32" s="209"/>
      <c r="AR32" s="209"/>
      <c r="AS32" s="209"/>
      <c r="AT32" s="209"/>
      <c r="AU32" s="209"/>
      <c r="AV32" s="209"/>
      <c r="AW32" s="209"/>
      <c r="AX32" s="209"/>
      <c r="AY32" s="209"/>
      <c r="AZ32" s="209"/>
      <c r="BA32" s="209"/>
      <c r="BB32" s="209"/>
    </row>
    <row r="33" spans="1:55" x14ac:dyDescent="0.25">
      <c r="B33" s="38" t="s">
        <v>108</v>
      </c>
      <c r="C33" s="206">
        <f>C29+'Profit and Loss Highlights'!C71+'Profit and Loss Highlights'!C75</f>
        <v>789.61749999999984</v>
      </c>
      <c r="D33" s="206">
        <f>D29+'Profit and Loss Highlights'!D71+'Profit and Loss Highlights'!D75</f>
        <v>701.94250000000011</v>
      </c>
      <c r="E33" s="206">
        <f>E29+'Profit and Loss Highlights'!E71+'Profit and Loss Highlights'!E75</f>
        <v>644.81600000000003</v>
      </c>
      <c r="F33" s="206">
        <f>F29+'Profit and Loss Highlights'!F71+'Profit and Loss Highlights'!F75</f>
        <v>228.37200000000007</v>
      </c>
      <c r="G33" s="206">
        <f>G29+'Profit and Loss Highlights'!G71+'Profit and Loss Highlights'!G75</f>
        <v>661.61400000000003</v>
      </c>
      <c r="H33" s="206">
        <f>H29+'Profit and Loss Highlights'!H71+'Profit and Loss Highlights'!H75</f>
        <v>663.8599999999999</v>
      </c>
      <c r="I33" s="206">
        <f>I29+'Profit and Loss Highlights'!I71+'Profit and Loss Highlights'!I75</f>
        <v>737.08500000000004</v>
      </c>
      <c r="J33" s="206">
        <f>J29+'Profit and Loss Highlights'!J71+'Profit and Loss Highlights'!J75</f>
        <v>590.86400000000003</v>
      </c>
      <c r="K33" s="206">
        <f>K29+'Profit and Loss Highlights'!K71+'Profit and Loss Highlights'!K75</f>
        <v>695.95399999999995</v>
      </c>
      <c r="L33" s="206">
        <f>L29+'Profit and Loss Highlights'!L71+'Profit and Loss Highlights'!L75</f>
        <v>670.2653546423137</v>
      </c>
      <c r="M33" s="206">
        <f>M29+'Profit and Loss Highlights'!M71+'Profit and Loss Highlights'!M75</f>
        <v>448.96000000000004</v>
      </c>
      <c r="N33" s="206">
        <f>N29+'Profit and Loss Highlights'!N71+'Profit and Loss Highlights'!N75</f>
        <v>175.9559999999999</v>
      </c>
      <c r="O33" s="206">
        <f>O29+'Profit and Loss Highlights'!O71+'Profit and Loss Highlights'!O75</f>
        <v>642.03199999999993</v>
      </c>
      <c r="P33" s="206">
        <f>P29+'Profit and Loss Highlights'!P71+'Profit and Loss Highlights'!P75</f>
        <v>540.02</v>
      </c>
      <c r="Q33" s="206">
        <f>Q29+'Profit and Loss Highlights'!Q71+'Profit and Loss Highlights'!Q75</f>
        <v>469</v>
      </c>
      <c r="R33" s="206">
        <f>R29+'Profit and Loss Highlights'!R71+'Profit and Loss Highlights'!R75</f>
        <v>276</v>
      </c>
      <c r="S33" s="206">
        <f>S29+'Profit and Loss Highlights'!S71+'Profit and Loss Highlights'!S75</f>
        <v>694</v>
      </c>
      <c r="T33" s="206">
        <f>T29+'Profit and Loss Highlights'!T71+'Profit and Loss Highlights'!T75</f>
        <v>431</v>
      </c>
      <c r="U33" s="206">
        <f>U29+'Profit and Loss Highlights'!U71+'Profit and Loss Highlights'!U75</f>
        <v>618</v>
      </c>
      <c r="V33" s="206">
        <f>V29+'Profit and Loss Highlights'!V71+'Profit and Loss Highlights'!V75</f>
        <v>446</v>
      </c>
      <c r="W33" s="206">
        <f>W29+'Profit and Loss Highlights'!W71+'Profit and Loss Highlights'!W75</f>
        <v>593</v>
      </c>
      <c r="X33" s="206">
        <f>X29+'Profit and Loss Highlights'!X71+'Profit and Loss Highlights'!X75</f>
        <v>512</v>
      </c>
      <c r="Y33" s="206">
        <f>Y29+'Profit and Loss Highlights'!Y71+'Profit and Loss Highlights'!Y75</f>
        <v>571</v>
      </c>
      <c r="Z33" s="206">
        <f>Z29+'Profit and Loss Highlights'!Z71+'Profit and Loss Highlights'!Z75</f>
        <v>431</v>
      </c>
      <c r="AA33" s="206">
        <f>AA29+'Profit and Loss Highlights'!AA71+'Profit and Loss Highlights'!AA75</f>
        <v>645</v>
      </c>
      <c r="AB33" s="206">
        <f>AB29+'Profit and Loss Highlights'!AB71+'Profit and Loss Highlights'!AB75</f>
        <v>553</v>
      </c>
      <c r="AC33" s="206">
        <f>AC29+'Profit and Loss Highlights'!AC71+'Profit and Loss Highlights'!AC75</f>
        <v>594</v>
      </c>
      <c r="AD33" s="206">
        <f>AD29+'Profit and Loss Highlights'!AD71+'Profit and Loss Highlights'!AD75</f>
        <v>70</v>
      </c>
      <c r="AE33" s="206">
        <f>AE29+'Profit and Loss Highlights'!AE71+'Profit and Loss Highlights'!AE75</f>
        <v>618</v>
      </c>
      <c r="AF33" s="206">
        <f>AF29+'Profit and Loss Highlights'!AF71+'Profit and Loss Highlights'!AF75</f>
        <v>466</v>
      </c>
      <c r="AG33" s="206">
        <f>AG29+'Profit and Loss Highlights'!AG71+'Profit and Loss Highlights'!AG75</f>
        <v>531</v>
      </c>
      <c r="AH33" s="206">
        <f>AH29+'Profit and Loss Highlights'!AH71+'Profit and Loss Highlights'!AH75</f>
        <v>137</v>
      </c>
      <c r="AI33" s="206">
        <f>AI29+'Profit and Loss Highlights'!AI71+'Profit and Loss Highlights'!AI75</f>
        <v>579</v>
      </c>
      <c r="AJ33" s="206">
        <f>AJ29+'Profit and Loss Highlights'!AJ71+'Profit and Loss Highlights'!AJ75</f>
        <v>471</v>
      </c>
      <c r="AK33" s="206">
        <f>AK29+'Profit and Loss Highlights'!AK71+'Profit and Loss Highlights'!AK75</f>
        <v>423</v>
      </c>
      <c r="AL33" s="206">
        <f>AL29+'Profit and Loss Highlights'!AL71+'Profit and Loss Highlights'!AL75</f>
        <v>222</v>
      </c>
      <c r="AM33" s="206">
        <f>AM29+'Profit and Loss Highlights'!AM71+'Profit and Loss Highlights'!AM75</f>
        <v>597</v>
      </c>
      <c r="AN33" s="206">
        <f>AN29+'Profit and Loss Highlights'!AN71+'Profit and Loss Highlights'!AN75</f>
        <v>592</v>
      </c>
      <c r="AO33" s="206">
        <f>AO29+'Profit and Loss Highlights'!AO71+'Profit and Loss Highlights'!AO75</f>
        <v>488</v>
      </c>
      <c r="AP33" s="206">
        <f>AP29+'Profit and Loss Highlights'!AP71+'Profit and Loss Highlights'!AP75</f>
        <v>146</v>
      </c>
      <c r="AQ33" s="206">
        <f>AQ29+'Profit and Loss Highlights'!AQ71+'Profit and Loss Highlights'!AQ75</f>
        <v>525</v>
      </c>
      <c r="AR33" s="206">
        <f>AR29+'Profit and Loss Highlights'!AR71+'Profit and Loss Highlights'!AR75</f>
        <v>496</v>
      </c>
      <c r="AS33" s="206">
        <f>AS29+'Profit and Loss Highlights'!AS71+'Profit and Loss Highlights'!AS75</f>
        <v>466</v>
      </c>
      <c r="AT33" s="206">
        <f>AT29+'Profit and Loss Highlights'!AT71+'Profit and Loss Highlights'!AT75</f>
        <v>270</v>
      </c>
      <c r="AU33" s="206">
        <f>AU29+'Profit and Loss Highlights'!AU71+'Profit and Loss Highlights'!AU75</f>
        <v>621</v>
      </c>
      <c r="AV33" s="206">
        <f>AV29+'Profit and Loss Highlights'!AV71+'Profit and Loss Highlights'!AV75</f>
        <v>597</v>
      </c>
      <c r="AW33" s="206">
        <f>AW29+'Profit and Loss Highlights'!AW71+'Profit and Loss Highlights'!AW75</f>
        <v>509</v>
      </c>
      <c r="AX33" s="206">
        <f>AX29+'Profit and Loss Highlights'!AX71+'Profit and Loss Highlights'!AX75</f>
        <v>522</v>
      </c>
      <c r="AY33" s="206">
        <f>AY29+'Profit and Loss Highlights'!AY71+'Profit and Loss Highlights'!AY75</f>
        <v>701</v>
      </c>
      <c r="AZ33" s="206">
        <f>AZ29+'Profit and Loss Highlights'!AZ71+'Profit and Loss Highlights'!AZ75</f>
        <v>691</v>
      </c>
      <c r="BA33" s="206">
        <f>BA29+'Profit and Loss Highlights'!BA71+'Profit and Loss Highlights'!BA75</f>
        <v>675</v>
      </c>
      <c r="BB33" s="206">
        <f>BB29+'Profit and Loss Highlights'!BB71+'Profit and Loss Highlights'!BB75</f>
        <v>453</v>
      </c>
    </row>
    <row r="34" spans="1:55" x14ac:dyDescent="0.25">
      <c r="B34" s="38" t="s">
        <v>189</v>
      </c>
      <c r="G34" s="165">
        <f>G33-('Profit and Loss Highlights'!G85*7500)</f>
        <v>61.614000000000033</v>
      </c>
      <c r="H34" s="165">
        <f>H33-('Profit and Loss Highlights'!H85*7500)</f>
        <v>63.8599999999999</v>
      </c>
      <c r="I34" s="165">
        <f>I33-('Profit and Loss Highlights'!I85*7500)</f>
        <v>137.08500000000004</v>
      </c>
      <c r="J34" s="165">
        <f>J33-('Profit and Loss Highlights'!J85*7500)</f>
        <v>-609.13599999999974</v>
      </c>
      <c r="K34" s="165">
        <f>K33-('Profit and Loss Highlights'!K85*7500)</f>
        <v>95.953999999999951</v>
      </c>
      <c r="L34" s="165">
        <f>L33-('Profit and Loss Highlights'!L85*7500)</f>
        <v>70.265354642313696</v>
      </c>
      <c r="M34" s="165">
        <f>M33-('Profit and Loss Highlights'!M85*7500)</f>
        <v>-151.04000000000019</v>
      </c>
      <c r="N34" s="165">
        <f>N33-('Profit and Loss Highlights'!N85*7500)</f>
        <v>-1024.0440000000001</v>
      </c>
      <c r="O34" s="165">
        <f>O33-('Profit and Loss Highlights'!O85*7500)</f>
        <v>267.03199999999993</v>
      </c>
      <c r="P34" s="165">
        <f>P33-('Profit and Loss Highlights'!P85*7500)</f>
        <v>165.01999999999998</v>
      </c>
      <c r="Q34" s="165">
        <f>Q33-('Profit and Loss Highlights'!Q85*7500)</f>
        <v>94</v>
      </c>
      <c r="R34" s="165">
        <f>R33-('Profit and Loss Highlights'!R85*7500)</f>
        <v>-99</v>
      </c>
      <c r="S34" s="165">
        <f>S33-('Profit and Loss Highlights'!S85*7500)</f>
        <v>319</v>
      </c>
      <c r="T34" s="165">
        <f>T33-('Profit and Loss Highlights'!T85*7500)</f>
        <v>56</v>
      </c>
      <c r="U34" s="165">
        <f>U33-('Profit and Loss Highlights'!U85*7500)</f>
        <v>243</v>
      </c>
      <c r="V34" s="165">
        <f>V33-('Profit and Loss Highlights'!V85*7500)</f>
        <v>71</v>
      </c>
      <c r="W34" s="165">
        <f>W33-('Profit and Loss Highlights'!W85*7500)</f>
        <v>218</v>
      </c>
      <c r="X34" s="165">
        <f>X33-('Profit and Loss Highlights'!X85*7500)</f>
        <v>137</v>
      </c>
      <c r="Y34" s="165">
        <f>Y33-('Profit and Loss Highlights'!Y85*7500)</f>
        <v>196</v>
      </c>
      <c r="Z34" s="166">
        <f>Z33-('Profit and Loss Highlights'!Z85*7500)</f>
        <v>56</v>
      </c>
      <c r="AA34" s="166">
        <f>AA33-('Profit and Loss Highlights'!AA85*7500)</f>
        <v>270</v>
      </c>
      <c r="AB34" s="166">
        <f>AB33-('Profit and Loss Highlights'!AB85*7500)</f>
        <v>178</v>
      </c>
      <c r="AC34" s="166">
        <f>AC33-('Profit and Loss Highlights'!AC85*7500)</f>
        <v>219</v>
      </c>
      <c r="AD34" s="166">
        <f>AD33-('Profit and Loss Highlights'!AD85*7500)</f>
        <v>-305</v>
      </c>
      <c r="AE34" s="165">
        <f>AE33-('Profit and Loss Highlights'!AE85*7820)</f>
        <v>227</v>
      </c>
      <c r="AF34" s="165">
        <f>AF33-('Profit and Loss Highlights'!AF85*7820)</f>
        <v>75</v>
      </c>
      <c r="AG34" s="165">
        <f>AG33-('Profit and Loss Highlights'!AG85*7820)</f>
        <v>140</v>
      </c>
      <c r="AH34" s="165">
        <f>AH33-('Profit and Loss Highlights'!AH85*7820)</f>
        <v>-254</v>
      </c>
      <c r="AI34" s="165">
        <f>AI33-('Profit and Loss Highlights'!AI85*7820)</f>
        <v>266.2</v>
      </c>
      <c r="AJ34" s="166">
        <f>AJ33-('Profit and Loss Highlights'!AJ85*7820)</f>
        <v>158.19999999999999</v>
      </c>
      <c r="AK34" s="166">
        <f>AK33-('Profit and Loss Highlights'!AK85*7820)</f>
        <v>110.19999999999999</v>
      </c>
      <c r="AL34" s="166">
        <f>AL33-('Profit and Loss Highlights'!AL85*7820)</f>
        <v>-169</v>
      </c>
      <c r="AM34" s="166">
        <f>AM33-('Profit and Loss Highlights'!AM85*7820)</f>
        <v>284.2</v>
      </c>
      <c r="AN34" s="166">
        <f>AN33-('Profit and Loss Highlights'!AN85*7820)</f>
        <v>279.2</v>
      </c>
      <c r="AO34" s="166">
        <f>AO33-('Profit and Loss Highlights'!AO85*7820)</f>
        <v>175.2</v>
      </c>
      <c r="AP34" s="165">
        <f>AP33-('Profit and Loss Highlights'!AP85*7820)</f>
        <v>-245</v>
      </c>
      <c r="AQ34" s="165">
        <f>AQ33-('Profit and Loss Highlights'!AQ85*7820)</f>
        <v>134</v>
      </c>
      <c r="AR34" s="166">
        <f>AR33-('Profit and Loss Highlights'!AR85*7820)</f>
        <v>105</v>
      </c>
      <c r="AS34" s="166">
        <f>AS33-('Profit and Loss Highlights'!AS85*7820)</f>
        <v>75</v>
      </c>
      <c r="AT34" s="166">
        <f>AT33-('Profit and Loss Highlights'!AT85*7820)</f>
        <v>-121</v>
      </c>
      <c r="AU34" s="166">
        <f>AU33-('Profit and Loss Highlights'!AU85*7820)</f>
        <v>308.2</v>
      </c>
      <c r="AV34" s="166">
        <f>AV33-('Profit and Loss Highlights'!AV85*7820)</f>
        <v>284.2</v>
      </c>
      <c r="AW34" s="166">
        <f>AW33-('Profit and Loss Highlights'!AW85*7820)</f>
        <v>196.2</v>
      </c>
      <c r="AX34" s="166">
        <f>AX33-('Profit and Loss Highlights'!AX85*7820)</f>
        <v>209.2</v>
      </c>
      <c r="AY34" s="166">
        <f>AY33-('Profit and Loss Highlights'!AY85*7820)</f>
        <v>388.2</v>
      </c>
      <c r="AZ34" s="166">
        <f>AZ33-('Profit and Loss Highlights'!AZ85*7820)</f>
        <v>378.2</v>
      </c>
      <c r="BA34" s="166">
        <f>BA33-('Profit and Loss Highlights'!BA85*7820)</f>
        <v>362.2</v>
      </c>
      <c r="BB34" s="166">
        <f>BB33-('Profit and Loss Highlights'!BB85*7820)</f>
        <v>62</v>
      </c>
    </row>
    <row r="35" spans="1:55" x14ac:dyDescent="0.25">
      <c r="AC35" s="38"/>
      <c r="AD35" s="38"/>
    </row>
    <row r="36" spans="1:55" s="203" customFormat="1" x14ac:dyDescent="0.25">
      <c r="A36" s="113"/>
      <c r="C36" s="113"/>
      <c r="D36" s="113"/>
      <c r="E36" s="113"/>
      <c r="F36" s="113"/>
      <c r="G36" s="113"/>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47"/>
      <c r="AF36" s="147"/>
      <c r="AG36" s="147"/>
      <c r="AH36" s="147"/>
      <c r="AI36" s="147"/>
      <c r="AJ36" s="147"/>
      <c r="AK36" s="147"/>
      <c r="AL36" s="147"/>
      <c r="AM36" s="147"/>
      <c r="AN36" s="147"/>
      <c r="AO36" s="147"/>
      <c r="AP36" s="147"/>
      <c r="AQ36" s="147"/>
      <c r="AR36" s="147"/>
      <c r="AS36" s="147"/>
      <c r="AT36" s="147"/>
      <c r="AU36" s="147"/>
      <c r="AV36" s="147"/>
      <c r="AW36" s="147"/>
      <c r="AX36" s="147"/>
      <c r="AY36" s="147"/>
      <c r="AZ36" s="147"/>
      <c r="BA36" s="147"/>
      <c r="BB36" s="147"/>
      <c r="BC36" s="113"/>
    </row>
    <row r="37" spans="1:55" s="203" customFormat="1" x14ac:dyDescent="0.25">
      <c r="A37" s="113"/>
      <c r="C37" s="113"/>
      <c r="D37" s="113"/>
      <c r="E37" s="113"/>
      <c r="F37" s="113"/>
      <c r="G37" s="113"/>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47"/>
      <c r="AF37" s="147"/>
      <c r="AG37" s="147"/>
      <c r="AH37" s="147"/>
      <c r="AI37" s="147"/>
      <c r="AJ37" s="147"/>
      <c r="AK37" s="147"/>
      <c r="AL37" s="147"/>
      <c r="AM37" s="147"/>
      <c r="AN37" s="147"/>
      <c r="AO37" s="147"/>
      <c r="AP37" s="147"/>
      <c r="AQ37" s="147"/>
      <c r="AR37" s="147"/>
      <c r="AS37" s="147"/>
      <c r="AT37" s="147"/>
      <c r="AU37" s="147"/>
      <c r="AV37" s="147"/>
      <c r="AW37" s="147"/>
      <c r="AX37" s="147"/>
      <c r="AY37" s="147"/>
      <c r="AZ37" s="147"/>
      <c r="BA37" s="147"/>
      <c r="BB37" s="147"/>
      <c r="BC37" s="113"/>
    </row>
    <row r="38" spans="1:55" x14ac:dyDescent="0.25">
      <c r="AC38" s="38"/>
      <c r="AD38" s="38"/>
    </row>
    <row r="39" spans="1:55" x14ac:dyDescent="0.25">
      <c r="C39" s="210"/>
      <c r="D39" s="210"/>
      <c r="E39" s="210"/>
      <c r="F39" s="210"/>
      <c r="G39" s="210"/>
      <c r="H39" s="210"/>
      <c r="I39" s="210"/>
      <c r="J39" s="210"/>
      <c r="K39" s="210"/>
      <c r="L39" s="210"/>
      <c r="M39" s="210"/>
      <c r="N39" s="210"/>
      <c r="O39" s="210"/>
      <c r="P39" s="210"/>
      <c r="Q39" s="210"/>
      <c r="R39" s="210"/>
      <c r="S39" s="210"/>
      <c r="T39" s="210"/>
      <c r="U39" s="210"/>
      <c r="V39" s="210"/>
      <c r="W39" s="210"/>
      <c r="X39" s="210"/>
      <c r="Y39" s="210"/>
      <c r="Z39" s="210"/>
      <c r="AA39" s="210"/>
      <c r="AB39" s="211"/>
      <c r="AC39" s="211"/>
      <c r="AD39" s="211"/>
      <c r="AE39" s="212"/>
      <c r="AF39" s="212"/>
      <c r="AG39" s="212"/>
      <c r="AH39" s="212"/>
      <c r="AI39" s="212"/>
      <c r="AJ39" s="212"/>
      <c r="AK39" s="212"/>
      <c r="AL39" s="212"/>
      <c r="AM39" s="212"/>
      <c r="AN39" s="212"/>
      <c r="AO39" s="212"/>
      <c r="AP39" s="213"/>
      <c r="AQ39" s="213"/>
      <c r="AR39" s="212"/>
      <c r="AS39" s="212"/>
      <c r="AT39" s="212"/>
      <c r="AU39" s="212"/>
      <c r="AV39" s="212"/>
      <c r="AW39" s="212"/>
      <c r="AX39" s="212"/>
      <c r="AY39" s="212"/>
      <c r="AZ39" s="212"/>
      <c r="BA39" s="212"/>
      <c r="BB39" s="212"/>
    </row>
    <row r="40" spans="1:55" x14ac:dyDescent="0.25">
      <c r="C40" s="210"/>
      <c r="D40" s="210"/>
      <c r="E40" s="210"/>
      <c r="F40" s="210"/>
      <c r="G40" s="210"/>
      <c r="H40" s="210"/>
      <c r="I40" s="210"/>
      <c r="J40" s="210"/>
      <c r="K40" s="210"/>
      <c r="L40" s="210"/>
      <c r="M40" s="210"/>
      <c r="N40" s="210"/>
      <c r="O40" s="210"/>
      <c r="P40" s="210"/>
      <c r="Q40" s="210"/>
      <c r="R40" s="210"/>
      <c r="S40" s="210"/>
      <c r="T40" s="210"/>
      <c r="U40" s="210"/>
      <c r="V40" s="210"/>
      <c r="W40" s="210"/>
      <c r="X40" s="210"/>
      <c r="Y40" s="210"/>
      <c r="Z40" s="210"/>
      <c r="AA40" s="210"/>
      <c r="AB40" s="211"/>
      <c r="AC40" s="211"/>
      <c r="AD40" s="213"/>
      <c r="AE40" s="212"/>
      <c r="AF40" s="212"/>
      <c r="AG40" s="212"/>
      <c r="AH40" s="212"/>
      <c r="AI40" s="212"/>
      <c r="AJ40" s="212"/>
      <c r="AK40" s="212"/>
      <c r="AL40" s="212"/>
      <c r="AM40" s="213"/>
      <c r="AN40" s="213"/>
      <c r="AO40" s="213"/>
      <c r="AP40" s="213"/>
      <c r="AQ40" s="213"/>
      <c r="AR40" s="213"/>
      <c r="AS40" s="213"/>
      <c r="AT40" s="213"/>
      <c r="AU40" s="213"/>
      <c r="AV40" s="213"/>
      <c r="AW40" s="213"/>
      <c r="AX40" s="213"/>
      <c r="AY40" s="213"/>
      <c r="AZ40" s="213"/>
      <c r="BA40" s="213"/>
      <c r="BB40" s="213"/>
    </row>
    <row r="41" spans="1:55" x14ac:dyDescent="0.25">
      <c r="C41" s="214"/>
      <c r="D41" s="214"/>
      <c r="E41" s="214"/>
      <c r="F41" s="214"/>
      <c r="G41" s="214"/>
      <c r="H41" s="214"/>
      <c r="I41" s="214"/>
      <c r="J41" s="214"/>
      <c r="K41" s="214"/>
      <c r="L41" s="214"/>
      <c r="M41" s="214"/>
      <c r="N41" s="214"/>
      <c r="O41" s="214"/>
      <c r="P41" s="214"/>
      <c r="Q41" s="214"/>
      <c r="R41" s="214"/>
      <c r="S41" s="214"/>
      <c r="T41" s="214"/>
      <c r="U41" s="214"/>
      <c r="V41" s="214"/>
      <c r="W41" s="214"/>
      <c r="X41" s="214"/>
      <c r="Y41" s="214"/>
      <c r="Z41" s="214"/>
      <c r="AA41" s="214"/>
      <c r="AB41" s="214"/>
      <c r="AC41" s="214"/>
      <c r="AD41" s="215"/>
      <c r="AE41" s="215"/>
      <c r="AF41" s="215"/>
      <c r="AG41" s="215"/>
      <c r="AH41" s="215"/>
      <c r="AI41" s="215"/>
      <c r="AJ41" s="215"/>
      <c r="AK41" s="215"/>
      <c r="AL41" s="215"/>
      <c r="AM41" s="215"/>
      <c r="AN41" s="215"/>
      <c r="AO41" s="215"/>
      <c r="AP41" s="215"/>
      <c r="AQ41" s="215"/>
      <c r="AR41" s="215"/>
      <c r="AS41" s="215"/>
      <c r="AT41" s="215"/>
      <c r="AU41" s="215"/>
      <c r="AV41" s="215"/>
      <c r="AW41" s="215"/>
      <c r="AX41" s="215"/>
      <c r="AY41" s="215"/>
      <c r="AZ41" s="215"/>
      <c r="BA41" s="215"/>
      <c r="BB41" s="215"/>
    </row>
    <row r="42" spans="1:55" x14ac:dyDescent="0.25">
      <c r="C42" s="210"/>
      <c r="D42" s="210"/>
      <c r="E42" s="210"/>
      <c r="F42" s="210"/>
      <c r="G42" s="210"/>
      <c r="H42" s="210"/>
      <c r="I42" s="210"/>
      <c r="J42" s="210"/>
      <c r="K42" s="210"/>
      <c r="L42" s="210"/>
      <c r="M42" s="210"/>
      <c r="N42" s="210"/>
      <c r="O42" s="210"/>
      <c r="P42" s="210"/>
      <c r="Q42" s="210"/>
      <c r="R42" s="210"/>
      <c r="S42" s="210"/>
      <c r="T42" s="210"/>
      <c r="U42" s="210"/>
      <c r="V42" s="210"/>
      <c r="W42" s="210"/>
      <c r="X42" s="210"/>
      <c r="Y42" s="210"/>
      <c r="Z42" s="210"/>
      <c r="AA42" s="210"/>
      <c r="AB42" s="211"/>
      <c r="AC42" s="213"/>
      <c r="AD42" s="213"/>
      <c r="AE42" s="212"/>
      <c r="AF42" s="212"/>
      <c r="AG42" s="212"/>
      <c r="AH42" s="212"/>
      <c r="AI42" s="212"/>
      <c r="AJ42" s="212"/>
      <c r="AK42" s="212"/>
      <c r="AL42" s="212"/>
      <c r="AM42" s="213"/>
      <c r="AN42" s="213"/>
      <c r="AO42" s="213"/>
      <c r="AP42" s="213"/>
      <c r="AQ42" s="213"/>
      <c r="AR42" s="213"/>
      <c r="AS42" s="213"/>
      <c r="AT42" s="213"/>
      <c r="AU42" s="213"/>
      <c r="AV42" s="213"/>
      <c r="AW42" s="213"/>
      <c r="AX42" s="213"/>
      <c r="AY42" s="213"/>
      <c r="AZ42" s="213"/>
      <c r="BA42" s="213"/>
      <c r="BB42" s="213"/>
    </row>
    <row r="43" spans="1:55" x14ac:dyDescent="0.25">
      <c r="C43" s="214"/>
      <c r="D43" s="214"/>
      <c r="E43" s="214"/>
      <c r="F43" s="214"/>
      <c r="G43" s="214"/>
      <c r="H43" s="214"/>
      <c r="I43" s="214"/>
      <c r="J43" s="214"/>
      <c r="K43" s="214"/>
      <c r="L43" s="214"/>
      <c r="M43" s="214"/>
      <c r="N43" s="214"/>
      <c r="O43" s="214"/>
      <c r="P43" s="214"/>
      <c r="Q43" s="214"/>
      <c r="R43" s="214"/>
      <c r="S43" s="214"/>
      <c r="T43" s="214"/>
      <c r="U43" s="214"/>
      <c r="V43" s="214"/>
      <c r="W43" s="214"/>
      <c r="X43" s="214"/>
      <c r="Y43" s="214"/>
      <c r="Z43" s="214"/>
      <c r="AA43" s="214"/>
      <c r="AB43" s="214"/>
      <c r="AC43" s="215"/>
      <c r="AD43" s="215"/>
      <c r="AE43" s="215"/>
      <c r="AF43" s="215"/>
      <c r="AG43" s="215"/>
      <c r="AH43" s="215"/>
      <c r="AI43" s="215"/>
      <c r="AJ43" s="215"/>
      <c r="AK43" s="215"/>
      <c r="AL43" s="215"/>
      <c r="AM43" s="215"/>
      <c r="AN43" s="215"/>
      <c r="AO43" s="215"/>
      <c r="AP43" s="215"/>
      <c r="AQ43" s="215"/>
      <c r="AR43" s="215"/>
      <c r="AS43" s="215"/>
      <c r="AT43" s="215"/>
      <c r="AU43" s="215"/>
      <c r="AV43" s="215"/>
      <c r="AW43" s="215"/>
      <c r="AX43" s="215"/>
      <c r="AY43" s="215"/>
      <c r="AZ43" s="215"/>
      <c r="BA43" s="215"/>
      <c r="BB43" s="215"/>
    </row>
  </sheetData>
  <phoneticPr fontId="19" type="noConversion"/>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P100"/>
  <sheetViews>
    <sheetView zoomScale="85" zoomScaleNormal="85" workbookViewId="0">
      <pane xSplit="1" ySplit="2" topLeftCell="AW3" activePane="bottomRight" state="frozen"/>
      <selection activeCell="BB14" sqref="BB14"/>
      <selection pane="topRight" activeCell="BB14" sqref="BB14"/>
      <selection pane="bottomLeft" activeCell="BB14" sqref="BB14"/>
      <selection pane="bottomRight" activeCell="BA18" sqref="BA18:BB18"/>
    </sheetView>
  </sheetViews>
  <sheetFormatPr defaultColWidth="9.21875" defaultRowHeight="13.2" outlineLevelRow="1" x14ac:dyDescent="0.25"/>
  <cols>
    <col min="1" max="1" width="55.44140625" style="38" bestFit="1" customWidth="1"/>
    <col min="2" max="2" width="6.44140625" style="38" customWidth="1"/>
    <col min="3" max="3" width="13.21875" style="38" bestFit="1" customWidth="1"/>
    <col min="4" max="4" width="12.5546875" style="38" bestFit="1" customWidth="1"/>
    <col min="5" max="5" width="13.21875" style="38" bestFit="1" customWidth="1"/>
    <col min="6" max="7" width="12.5546875" style="38" bestFit="1" customWidth="1"/>
    <col min="8" max="8" width="13.21875" style="38" bestFit="1" customWidth="1"/>
    <col min="9" max="9" width="12.5546875" style="38" bestFit="1" customWidth="1"/>
    <col min="10" max="11" width="13.21875" style="38" bestFit="1" customWidth="1"/>
    <col min="12" max="14" width="12.5546875" style="38" bestFit="1" customWidth="1"/>
    <col min="15" max="16" width="13.21875" style="38" bestFit="1" customWidth="1"/>
    <col min="17" max="17" width="12.21875" style="38" bestFit="1" customWidth="1"/>
    <col min="18" max="18" width="13.21875" style="38" bestFit="1" customWidth="1"/>
    <col min="19" max="19" width="12.5546875" style="38" bestFit="1" customWidth="1"/>
    <col min="20" max="21" width="13.21875" style="38" bestFit="1" customWidth="1"/>
    <col min="22" max="23" width="12.5546875" style="38" bestFit="1" customWidth="1"/>
    <col min="24" max="24" width="12.21875" style="38" bestFit="1" customWidth="1"/>
    <col min="25" max="25" width="12.5546875" style="38" bestFit="1" customWidth="1"/>
    <col min="26" max="26" width="12.21875" style="38" bestFit="1" customWidth="1"/>
    <col min="27" max="27" width="13.21875" style="38" bestFit="1" customWidth="1"/>
    <col min="28" max="28" width="12.5546875" style="38" bestFit="1" customWidth="1"/>
    <col min="29" max="29" width="13.21875" style="38" bestFit="1" customWidth="1"/>
    <col min="30" max="31" width="13.21875" style="106" bestFit="1" customWidth="1"/>
    <col min="32" max="33" width="12.21875" style="106" bestFit="1" customWidth="1"/>
    <col min="34" max="36" width="12.5546875" style="106" bestFit="1" customWidth="1"/>
    <col min="37" max="37" width="11.77734375" style="106" bestFit="1" customWidth="1"/>
    <col min="38" max="41" width="12.21875" style="106" bestFit="1" customWidth="1"/>
    <col min="42" max="43" width="13" style="106" customWidth="1"/>
    <col min="44" max="54" width="12.21875" style="106" bestFit="1" customWidth="1"/>
    <col min="55" max="55" width="6.21875" style="38" bestFit="1" customWidth="1"/>
    <col min="56" max="56" width="30.5546875" style="38" customWidth="1"/>
    <col min="57" max="16384" width="9.21875" style="38"/>
  </cols>
  <sheetData>
    <row r="1" spans="1:68" s="35" customFormat="1" x14ac:dyDescent="0.25">
      <c r="A1" s="35" t="s">
        <v>47</v>
      </c>
      <c r="C1" s="36" t="str">
        <f>'Key Balance Sheet &amp; CFlow Items'!C$1</f>
        <v>1Q12</v>
      </c>
      <c r="D1" s="36" t="str">
        <f>'Key Balance Sheet &amp; CFlow Items'!D$1</f>
        <v>2Q12</v>
      </c>
      <c r="E1" s="36" t="str">
        <f>'Key Balance Sheet &amp; CFlow Items'!E$1</f>
        <v>3Q12</v>
      </c>
      <c r="F1" s="36" t="str">
        <f>'Key Balance Sheet &amp; CFlow Items'!F$1</f>
        <v>4Q12</v>
      </c>
      <c r="G1" s="36" t="str">
        <f>'Key Balance Sheet &amp; CFlow Items'!G$1</f>
        <v>1Q13</v>
      </c>
      <c r="H1" s="36" t="str">
        <f>'Key Balance Sheet &amp; CFlow Items'!H$1</f>
        <v>2Q13</v>
      </c>
      <c r="I1" s="36" t="str">
        <f>'Key Balance Sheet &amp; CFlow Items'!I$1</f>
        <v>3Q13</v>
      </c>
      <c r="J1" s="36" t="str">
        <f>'Key Balance Sheet &amp; CFlow Items'!J$1</f>
        <v>4Q13</v>
      </c>
      <c r="K1" s="36" t="str">
        <f>'Key Balance Sheet &amp; CFlow Items'!K$1</f>
        <v>1Q14</v>
      </c>
      <c r="L1" s="36" t="str">
        <f>'Key Balance Sheet &amp; CFlow Items'!L$1</f>
        <v>2Q14</v>
      </c>
      <c r="M1" s="36" t="str">
        <f>'Key Balance Sheet &amp; CFlow Items'!M$1</f>
        <v>3Q14</v>
      </c>
      <c r="N1" s="36" t="str">
        <f>'Key Balance Sheet &amp; CFlow Items'!N$1</f>
        <v>4Q14</v>
      </c>
      <c r="O1" s="36" t="str">
        <f>'Key Balance Sheet &amp; CFlow Items'!O$1</f>
        <v>1Q15</v>
      </c>
      <c r="P1" s="36" t="str">
        <f>'Key Balance Sheet &amp; CFlow Items'!P$1</f>
        <v>2Q15</v>
      </c>
      <c r="Q1" s="36" t="str">
        <f>'Key Balance Sheet &amp; CFlow Items'!Q$1</f>
        <v>3Q15</v>
      </c>
      <c r="R1" s="36" t="str">
        <f>'Key Balance Sheet &amp; CFlow Items'!R$1</f>
        <v>4Q15</v>
      </c>
      <c r="S1" s="36" t="str">
        <f>'Key Balance Sheet &amp; CFlow Items'!S$1</f>
        <v>1Q16</v>
      </c>
      <c r="T1" s="36" t="str">
        <f>'Key Balance Sheet &amp; CFlow Items'!T$1</f>
        <v>2Q16</v>
      </c>
      <c r="U1" s="36" t="str">
        <f>'Key Balance Sheet &amp; CFlow Items'!U$1</f>
        <v>3Q16</v>
      </c>
      <c r="V1" s="36" t="str">
        <f>'Key Balance Sheet &amp; CFlow Items'!V$1</f>
        <v>4Q16</v>
      </c>
      <c r="W1" s="36" t="str">
        <f>'Key Balance Sheet &amp; CFlow Items'!W$1</f>
        <v>1Q17</v>
      </c>
      <c r="X1" s="36" t="str">
        <f>'Key Balance Sheet &amp; CFlow Items'!X$1</f>
        <v>2Q17</v>
      </c>
      <c r="Y1" s="36" t="str">
        <f>'Key Balance Sheet &amp; CFlow Items'!Y$1</f>
        <v>3Q17</v>
      </c>
      <c r="Z1" s="36" t="str">
        <f>'Key Balance Sheet &amp; CFlow Items'!Z$1</f>
        <v>4Q17</v>
      </c>
      <c r="AA1" s="36" t="str">
        <f>'Key Balance Sheet &amp; CFlow Items'!AA$1</f>
        <v>1Q18</v>
      </c>
      <c r="AB1" s="36" t="str">
        <f>'Key Balance Sheet &amp; CFlow Items'!AB$1</f>
        <v>2Q18</v>
      </c>
      <c r="AC1" s="36" t="str">
        <f>'Key Balance Sheet &amp; CFlow Items'!AC$1</f>
        <v>3Q18</v>
      </c>
      <c r="AD1" s="36" t="str">
        <f>'Key Balance Sheet &amp; CFlow Items'!AD$1</f>
        <v>4Q18</v>
      </c>
      <c r="AE1" s="36" t="str">
        <f>'Key Balance Sheet &amp; CFlow Items'!AE$1</f>
        <v>1Q19</v>
      </c>
      <c r="AF1" s="36" t="str">
        <f>'Key Balance Sheet &amp; CFlow Items'!AF$1</f>
        <v>2Q19</v>
      </c>
      <c r="AG1" s="36" t="str">
        <f>'Key Balance Sheet &amp; CFlow Items'!AG$1</f>
        <v>3Q19</v>
      </c>
      <c r="AH1" s="36" t="str">
        <f>'Key Balance Sheet &amp; CFlow Items'!AH$1</f>
        <v>4Q19</v>
      </c>
      <c r="AI1" s="36" t="str">
        <f>'Key Balance Sheet &amp; CFlow Items'!AI$1</f>
        <v>1Q20</v>
      </c>
      <c r="AJ1" s="36" t="str">
        <f>'Key Balance Sheet &amp; CFlow Items'!AJ$1</f>
        <v>2Q20</v>
      </c>
      <c r="AK1" s="36" t="str">
        <f>'Key Balance Sheet &amp; CFlow Items'!AK$1</f>
        <v>3Q20</v>
      </c>
      <c r="AL1" s="36" t="str">
        <f>'Key Balance Sheet &amp; CFlow Items'!AL$1</f>
        <v>4Q20</v>
      </c>
      <c r="AM1" s="36" t="str">
        <f>'Key Balance Sheet &amp; CFlow Items'!AM$1</f>
        <v>1Q21</v>
      </c>
      <c r="AN1" s="36" t="str">
        <f>'Key Balance Sheet &amp; CFlow Items'!AN$1</f>
        <v>2Q21</v>
      </c>
      <c r="AO1" s="36" t="str">
        <f>'Key Balance Sheet &amp; CFlow Items'!AO$1</f>
        <v>3Q21</v>
      </c>
      <c r="AP1" s="36" t="str">
        <f>'Key Balance Sheet &amp; CFlow Items'!AP$1</f>
        <v>4Q21</v>
      </c>
      <c r="AQ1" s="36" t="str">
        <f>'Key Balance Sheet &amp; CFlow Items'!AQ$1</f>
        <v>1Q22</v>
      </c>
      <c r="AR1" s="36" t="str">
        <f>'Key Balance Sheet &amp; CFlow Items'!AR$1</f>
        <v>2Q22</v>
      </c>
      <c r="AS1" s="36" t="str">
        <f>'Key Balance Sheet &amp; CFlow Items'!AS$1</f>
        <v>3Q22</v>
      </c>
      <c r="AT1" s="36" t="str">
        <f>'Key Balance Sheet &amp; CFlow Items'!AT$1</f>
        <v>4Q22</v>
      </c>
      <c r="AU1" s="36" t="str">
        <f>'Key Balance Sheet &amp; CFlow Items'!AU$1</f>
        <v>1Q23</v>
      </c>
      <c r="AV1" s="36" t="str">
        <f>'Key Balance Sheet &amp; CFlow Items'!AV$1</f>
        <v>2Q23</v>
      </c>
      <c r="AW1" s="36" t="str">
        <f>'Key Balance Sheet &amp; CFlow Items'!AW$1</f>
        <v>3Q23</v>
      </c>
      <c r="AX1" s="36" t="str">
        <f>'Key Balance Sheet &amp; CFlow Items'!AX$1</f>
        <v>4Q23</v>
      </c>
      <c r="AY1" s="36" t="str">
        <f>'Key Balance Sheet &amp; CFlow Items'!AY$1</f>
        <v>1Q24</v>
      </c>
      <c r="AZ1" s="36" t="str">
        <f>'Key Balance Sheet &amp; CFlow Items'!AZ$1</f>
        <v>2Q24</v>
      </c>
      <c r="BA1" s="36" t="str">
        <f>'Key Balance Sheet &amp; CFlow Items'!BA$1</f>
        <v>3Q24</v>
      </c>
      <c r="BB1" s="36" t="str">
        <f>'Key Balance Sheet &amp; CFlow Items'!BB$1</f>
        <v>4Q24</v>
      </c>
      <c r="BD1" s="35" t="s">
        <v>18</v>
      </c>
    </row>
    <row r="2" spans="1:68" s="35" customFormat="1" x14ac:dyDescent="0.25">
      <c r="A2" s="35" t="s">
        <v>48</v>
      </c>
      <c r="C2" s="270">
        <f>'Key Balance Sheet &amp; CFlow Items'!C$2</f>
        <v>40999</v>
      </c>
      <c r="D2" s="270">
        <f>'Key Balance Sheet &amp; CFlow Items'!D$2</f>
        <v>41090</v>
      </c>
      <c r="E2" s="270">
        <f>'Key Balance Sheet &amp; CFlow Items'!E$2</f>
        <v>41182</v>
      </c>
      <c r="F2" s="270">
        <f>'Key Balance Sheet &amp; CFlow Items'!F$2</f>
        <v>41274</v>
      </c>
      <c r="G2" s="270">
        <f>'Key Balance Sheet &amp; CFlow Items'!G$2</f>
        <v>41364</v>
      </c>
      <c r="H2" s="270">
        <f>'Key Balance Sheet &amp; CFlow Items'!H$2</f>
        <v>41455</v>
      </c>
      <c r="I2" s="270">
        <f>'Key Balance Sheet &amp; CFlow Items'!I$2</f>
        <v>41547</v>
      </c>
      <c r="J2" s="270">
        <f>'Key Balance Sheet &amp; CFlow Items'!J$2</f>
        <v>41639</v>
      </c>
      <c r="K2" s="270">
        <f>'Key Balance Sheet &amp; CFlow Items'!K$2</f>
        <v>41729</v>
      </c>
      <c r="L2" s="270">
        <f>'Key Balance Sheet &amp; CFlow Items'!L$2</f>
        <v>41820</v>
      </c>
      <c r="M2" s="270">
        <f>'Key Balance Sheet &amp; CFlow Items'!M$2</f>
        <v>41912</v>
      </c>
      <c r="N2" s="270">
        <f>'Key Balance Sheet &amp; CFlow Items'!N$2</f>
        <v>42004</v>
      </c>
      <c r="O2" s="270">
        <f>'Key Balance Sheet &amp; CFlow Items'!O$2</f>
        <v>42094</v>
      </c>
      <c r="P2" s="270">
        <f>'Key Balance Sheet &amp; CFlow Items'!P$2</f>
        <v>42185</v>
      </c>
      <c r="Q2" s="270">
        <f>'Key Balance Sheet &amp; CFlow Items'!Q$2</f>
        <v>42277</v>
      </c>
      <c r="R2" s="270">
        <f>'Key Balance Sheet &amp; CFlow Items'!R$2</f>
        <v>42369</v>
      </c>
      <c r="S2" s="270">
        <f>'Key Balance Sheet &amp; CFlow Items'!S$2</f>
        <v>42460</v>
      </c>
      <c r="T2" s="270">
        <f>'Key Balance Sheet &amp; CFlow Items'!T$2</f>
        <v>42551</v>
      </c>
      <c r="U2" s="270">
        <f>'Key Balance Sheet &amp; CFlow Items'!U$2</f>
        <v>42643</v>
      </c>
      <c r="V2" s="270">
        <f>'Key Balance Sheet &amp; CFlow Items'!V$2</f>
        <v>42735</v>
      </c>
      <c r="W2" s="270">
        <f>'Key Balance Sheet &amp; CFlow Items'!W$2</f>
        <v>42825</v>
      </c>
      <c r="X2" s="270">
        <f>'Key Balance Sheet &amp; CFlow Items'!X$2</f>
        <v>42916</v>
      </c>
      <c r="Y2" s="270">
        <f>'Key Balance Sheet &amp; CFlow Items'!Y$2</f>
        <v>43008</v>
      </c>
      <c r="Z2" s="270">
        <f>'Key Balance Sheet &amp; CFlow Items'!Z$2</f>
        <v>43100</v>
      </c>
      <c r="AA2" s="270">
        <f>'Key Balance Sheet &amp; CFlow Items'!AA$2</f>
        <v>43190</v>
      </c>
      <c r="AB2" s="270">
        <f>'Key Balance Sheet &amp; CFlow Items'!AB$2</f>
        <v>43281</v>
      </c>
      <c r="AC2" s="270">
        <f>'Key Balance Sheet &amp; CFlow Items'!AC$2</f>
        <v>43373</v>
      </c>
      <c r="AD2" s="270">
        <f>'Key Balance Sheet &amp; CFlow Items'!AD$2</f>
        <v>43465</v>
      </c>
      <c r="AE2" s="270">
        <f>'Key Balance Sheet &amp; CFlow Items'!AE$2</f>
        <v>43555</v>
      </c>
      <c r="AF2" s="270">
        <f>'Key Balance Sheet &amp; CFlow Items'!AF$2</f>
        <v>43646</v>
      </c>
      <c r="AG2" s="270">
        <f>'Key Balance Sheet &amp; CFlow Items'!AG$2</f>
        <v>43738</v>
      </c>
      <c r="AH2" s="270">
        <f>'Key Balance Sheet &amp; CFlow Items'!AH$2</f>
        <v>43830</v>
      </c>
      <c r="AI2" s="270">
        <f>'Key Balance Sheet &amp; CFlow Items'!AI$2</f>
        <v>43921</v>
      </c>
      <c r="AJ2" s="270">
        <f>'Key Balance Sheet &amp; CFlow Items'!AJ$2</f>
        <v>44012</v>
      </c>
      <c r="AK2" s="270">
        <f>'Key Balance Sheet &amp; CFlow Items'!AK$2</f>
        <v>44104</v>
      </c>
      <c r="AL2" s="270">
        <f>'Key Balance Sheet &amp; CFlow Items'!AL$2</f>
        <v>44196</v>
      </c>
      <c r="AM2" s="270">
        <f>'Key Balance Sheet &amp; CFlow Items'!AM$2</f>
        <v>44286</v>
      </c>
      <c r="AN2" s="270">
        <f>'Key Balance Sheet &amp; CFlow Items'!AN$2</f>
        <v>44377</v>
      </c>
      <c r="AO2" s="270">
        <f>'Key Balance Sheet &amp; CFlow Items'!AO$2</f>
        <v>44469</v>
      </c>
      <c r="AP2" s="270">
        <f>'Key Balance Sheet &amp; CFlow Items'!AP$2</f>
        <v>44561</v>
      </c>
      <c r="AQ2" s="270">
        <f>'Key Balance Sheet &amp; CFlow Items'!AQ$2</f>
        <v>44651</v>
      </c>
      <c r="AR2" s="270">
        <f>'Key Balance Sheet &amp; CFlow Items'!AR$2</f>
        <v>44742</v>
      </c>
      <c r="AS2" s="270">
        <f>'Key Balance Sheet &amp; CFlow Items'!AS$2</f>
        <v>44834</v>
      </c>
      <c r="AT2" s="270">
        <f>'Key Balance Sheet &amp; CFlow Items'!AT$2</f>
        <v>44926</v>
      </c>
      <c r="AU2" s="270">
        <f>'Key Balance Sheet &amp; CFlow Items'!AU$2</f>
        <v>45016</v>
      </c>
      <c r="AV2" s="270">
        <f>'Key Balance Sheet &amp; CFlow Items'!AV$2</f>
        <v>45107</v>
      </c>
      <c r="AW2" s="270">
        <f>'Key Balance Sheet &amp; CFlow Items'!AW$2</f>
        <v>45199</v>
      </c>
      <c r="AX2" s="270">
        <f>'Key Balance Sheet &amp; CFlow Items'!AX$2</f>
        <v>45291</v>
      </c>
      <c r="AY2" s="270">
        <f>'Key Balance Sheet &amp; CFlow Items'!AY$2</f>
        <v>45382</v>
      </c>
      <c r="AZ2" s="270">
        <f>'Key Balance Sheet &amp; CFlow Items'!AZ$2</f>
        <v>45473</v>
      </c>
      <c r="BA2" s="270">
        <f>'Key Balance Sheet &amp; CFlow Items'!BA$2</f>
        <v>45565</v>
      </c>
      <c r="BB2" s="270">
        <f>'Key Balance Sheet &amp; CFlow Items'!BB$2</f>
        <v>45657</v>
      </c>
    </row>
    <row r="3" spans="1:68" x14ac:dyDescent="0.25">
      <c r="AD3" s="38"/>
      <c r="AE3" s="143"/>
      <c r="AF3" s="143"/>
      <c r="AG3" s="143"/>
      <c r="AH3" s="143"/>
      <c r="AI3" s="143"/>
      <c r="AJ3" s="143"/>
      <c r="AK3" s="143"/>
      <c r="AL3" s="143"/>
      <c r="AM3" s="143"/>
      <c r="AN3" s="143"/>
      <c r="AO3" s="143"/>
      <c r="AP3" s="143"/>
      <c r="AQ3" s="143"/>
      <c r="AR3" s="143"/>
      <c r="AS3" s="143"/>
      <c r="AT3" s="143"/>
      <c r="AU3" s="143"/>
      <c r="AV3" s="143"/>
      <c r="AW3" s="143"/>
      <c r="AX3" s="143"/>
      <c r="AY3" s="143"/>
      <c r="AZ3" s="143"/>
      <c r="BA3" s="143"/>
      <c r="BB3" s="143"/>
    </row>
    <row r="4" spans="1:68" s="37" customFormat="1" x14ac:dyDescent="0.25">
      <c r="A4" s="37" t="s">
        <v>409</v>
      </c>
      <c r="C4" s="144"/>
      <c r="D4" s="144"/>
      <c r="E4" s="144"/>
      <c r="F4" s="144"/>
      <c r="G4" s="144"/>
      <c r="H4" s="144"/>
      <c r="I4" s="144"/>
      <c r="J4" s="144"/>
      <c r="K4" s="144"/>
      <c r="L4" s="144"/>
      <c r="M4" s="144"/>
      <c r="N4" s="144"/>
      <c r="O4" s="144"/>
      <c r="P4" s="144"/>
      <c r="Q4" s="144"/>
      <c r="R4" s="144"/>
      <c r="S4" s="145"/>
      <c r="T4" s="145"/>
      <c r="U4" s="145"/>
      <c r="V4" s="145"/>
      <c r="W4" s="145"/>
      <c r="X4" s="145"/>
      <c r="Y4" s="145"/>
      <c r="Z4" s="145"/>
      <c r="AA4" s="145"/>
      <c r="AB4" s="145"/>
      <c r="AC4" s="145"/>
      <c r="AD4" s="145"/>
      <c r="AE4" s="145"/>
      <c r="AF4" s="145"/>
      <c r="AG4" s="145"/>
      <c r="AH4" s="145"/>
      <c r="AI4" s="145"/>
      <c r="AJ4" s="145"/>
      <c r="AK4" s="145"/>
      <c r="AL4" s="145"/>
      <c r="AM4" s="145"/>
      <c r="AN4" s="145"/>
      <c r="AO4" s="145"/>
      <c r="AP4" s="145"/>
      <c r="AQ4" s="145"/>
      <c r="AR4" s="145"/>
      <c r="AS4" s="145"/>
      <c r="AT4" s="145"/>
      <c r="AU4" s="145"/>
      <c r="AV4" s="145"/>
      <c r="AW4" s="145"/>
      <c r="AX4" s="145"/>
      <c r="AY4" s="145"/>
      <c r="AZ4" s="145"/>
      <c r="BA4" s="145"/>
      <c r="BB4" s="145"/>
      <c r="BC4" s="146"/>
      <c r="BD4" s="147"/>
      <c r="BE4" s="147"/>
    </row>
    <row r="5" spans="1:68" ht="19.5" customHeight="1" x14ac:dyDescent="0.25">
      <c r="A5" s="37" t="s">
        <v>408</v>
      </c>
      <c r="B5" s="37"/>
      <c r="C5" s="246">
        <v>13830</v>
      </c>
      <c r="D5" s="246">
        <v>13827</v>
      </c>
      <c r="E5" s="246">
        <v>13930</v>
      </c>
      <c r="F5" s="246">
        <v>14091</v>
      </c>
      <c r="G5" s="246">
        <v>14136</v>
      </c>
      <c r="H5" s="246">
        <v>13873</v>
      </c>
      <c r="I5" s="246">
        <v>13213</v>
      </c>
      <c r="J5" s="246">
        <v>12893</v>
      </c>
      <c r="K5" s="246">
        <v>12602</v>
      </c>
      <c r="L5" s="246">
        <v>12401</v>
      </c>
      <c r="M5" s="246">
        <v>12415</v>
      </c>
      <c r="N5" s="246">
        <v>12913</v>
      </c>
      <c r="O5" s="246">
        <v>13260</v>
      </c>
      <c r="P5" s="246">
        <v>13269</v>
      </c>
      <c r="Q5" s="246">
        <v>13110</v>
      </c>
      <c r="R5" s="246">
        <v>12694</v>
      </c>
      <c r="S5" s="247">
        <v>12310</v>
      </c>
      <c r="T5" s="247">
        <v>12249</v>
      </c>
      <c r="U5" s="247">
        <v>12046</v>
      </c>
      <c r="V5" s="247">
        <v>11926</v>
      </c>
      <c r="W5" s="247">
        <v>11808</v>
      </c>
      <c r="X5" s="247">
        <v>11661</v>
      </c>
      <c r="Y5" s="247">
        <v>11269</v>
      </c>
      <c r="Z5" s="247">
        <v>11091</v>
      </c>
      <c r="AA5" s="247">
        <v>10875</v>
      </c>
      <c r="AB5" s="247">
        <v>10891</v>
      </c>
      <c r="AC5" s="247">
        <v>10956</v>
      </c>
      <c r="AD5" s="247">
        <v>10890</v>
      </c>
      <c r="AE5" s="247">
        <v>10885</v>
      </c>
      <c r="AF5" s="247">
        <v>11016</v>
      </c>
      <c r="AG5" s="247">
        <v>11153</v>
      </c>
      <c r="AH5" s="247">
        <v>11234</v>
      </c>
      <c r="AI5" s="247">
        <v>11320</v>
      </c>
      <c r="AJ5" s="247">
        <v>11734</v>
      </c>
      <c r="AK5" s="247">
        <v>11116</v>
      </c>
      <c r="AL5" s="247">
        <v>11261</v>
      </c>
      <c r="AM5" s="247">
        <v>11516</v>
      </c>
      <c r="AN5" s="247">
        <v>11671</v>
      </c>
      <c r="AO5" s="247">
        <v>11651</v>
      </c>
      <c r="AP5" s="247">
        <v>11842</v>
      </c>
      <c r="AQ5" s="247">
        <v>11640</v>
      </c>
      <c r="AR5" s="247">
        <v>11767</v>
      </c>
      <c r="AS5" s="247">
        <v>11877</v>
      </c>
      <c r="AT5" s="247">
        <v>11879</v>
      </c>
      <c r="AU5" s="247">
        <v>11920</v>
      </c>
      <c r="AV5" s="247">
        <v>11879</v>
      </c>
      <c r="AW5" s="247">
        <v>12135</v>
      </c>
      <c r="AX5" s="247">
        <v>12636</v>
      </c>
      <c r="AY5" s="247">
        <v>12558</v>
      </c>
      <c r="AZ5" s="247">
        <v>12753</v>
      </c>
      <c r="BA5" s="247">
        <v>12862</v>
      </c>
      <c r="BB5" s="247">
        <v>12947</v>
      </c>
      <c r="BC5" s="149"/>
      <c r="BD5" s="106" t="s">
        <v>431</v>
      </c>
      <c r="BE5" s="106"/>
    </row>
    <row r="6" spans="1:68" ht="19.5" customHeight="1" x14ac:dyDescent="0.25">
      <c r="C6" s="150"/>
      <c r="D6" s="150"/>
      <c r="E6" s="150"/>
      <c r="F6" s="150"/>
      <c r="G6" s="150"/>
      <c r="H6" s="150"/>
      <c r="I6" s="150"/>
      <c r="J6" s="150"/>
      <c r="K6" s="150"/>
      <c r="L6" s="150"/>
      <c r="M6" s="150"/>
      <c r="N6" s="150"/>
      <c r="O6" s="150"/>
      <c r="P6" s="150"/>
      <c r="Q6" s="150"/>
      <c r="R6" s="150"/>
      <c r="S6" s="149"/>
      <c r="T6" s="149"/>
      <c r="U6" s="149"/>
      <c r="V6" s="149"/>
      <c r="W6" s="149"/>
      <c r="X6" s="149"/>
      <c r="Y6" s="149"/>
      <c r="Z6" s="149"/>
      <c r="AA6" s="149"/>
      <c r="AB6" s="149"/>
      <c r="AC6" s="149"/>
      <c r="AD6" s="149"/>
      <c r="AE6" s="149"/>
      <c r="AF6" s="149"/>
      <c r="AG6" s="149"/>
      <c r="AH6" s="149"/>
      <c r="AI6" s="149"/>
      <c r="AJ6" s="149"/>
      <c r="AK6" s="149"/>
      <c r="AL6" s="149"/>
      <c r="AM6" s="149"/>
      <c r="AN6" s="149"/>
      <c r="AO6" s="149"/>
      <c r="AP6" s="149"/>
      <c r="AQ6" s="149"/>
      <c r="AR6" s="149"/>
      <c r="AS6" s="149"/>
      <c r="AT6" s="149"/>
      <c r="AU6" s="149"/>
      <c r="AV6" s="149"/>
      <c r="AW6" s="149"/>
      <c r="AX6" s="149"/>
      <c r="AY6" s="149"/>
      <c r="AZ6" s="149"/>
      <c r="BA6" s="149"/>
      <c r="BB6" s="149"/>
      <c r="BC6" s="149"/>
      <c r="BD6" s="106"/>
      <c r="BE6" s="106"/>
    </row>
    <row r="7" spans="1:68" ht="19.5" customHeight="1" x14ac:dyDescent="0.25">
      <c r="A7" s="38" t="s">
        <v>185</v>
      </c>
      <c r="C7" s="151"/>
      <c r="D7" s="151"/>
      <c r="E7" s="151"/>
      <c r="F7" s="151"/>
      <c r="G7" s="151"/>
      <c r="H7" s="151"/>
      <c r="I7" s="151"/>
      <c r="J7" s="151"/>
      <c r="K7" s="151"/>
      <c r="L7" s="151"/>
      <c r="M7" s="151"/>
      <c r="N7" s="248">
        <v>8800</v>
      </c>
      <c r="O7" s="248">
        <v>9000</v>
      </c>
      <c r="P7" s="248">
        <v>9100</v>
      </c>
      <c r="Q7" s="248">
        <v>9000</v>
      </c>
      <c r="R7" s="248">
        <v>8800</v>
      </c>
      <c r="S7" s="248">
        <v>8500</v>
      </c>
      <c r="T7" s="248">
        <v>8400</v>
      </c>
      <c r="U7" s="248">
        <v>8500</v>
      </c>
      <c r="V7" s="249">
        <v>8700</v>
      </c>
      <c r="W7" s="250">
        <v>8600</v>
      </c>
      <c r="X7" s="250">
        <v>8500</v>
      </c>
      <c r="Y7" s="250">
        <v>8300</v>
      </c>
      <c r="Z7" s="250">
        <v>8200</v>
      </c>
      <c r="AA7" s="250">
        <v>8000</v>
      </c>
      <c r="AB7" s="250">
        <v>8200</v>
      </c>
      <c r="AC7" s="250">
        <v>8300</v>
      </c>
      <c r="AD7" s="250">
        <v>8400</v>
      </c>
      <c r="AE7" s="250">
        <v>8400</v>
      </c>
      <c r="AF7" s="250">
        <v>8400</v>
      </c>
      <c r="AG7" s="250">
        <v>8500</v>
      </c>
      <c r="AH7" s="250">
        <v>8700</v>
      </c>
      <c r="AI7" s="250">
        <v>8300</v>
      </c>
      <c r="AJ7" s="250">
        <v>8400</v>
      </c>
      <c r="AK7" s="250">
        <v>8600</v>
      </c>
      <c r="AL7" s="251">
        <v>8800</v>
      </c>
      <c r="AM7" s="251">
        <v>8900</v>
      </c>
      <c r="AN7" s="251">
        <v>8500</v>
      </c>
      <c r="AO7" s="251">
        <v>8800</v>
      </c>
      <c r="AP7" s="251">
        <v>8500</v>
      </c>
      <c r="AQ7" s="251">
        <v>8500</v>
      </c>
      <c r="AR7" s="155"/>
      <c r="AS7" s="251"/>
      <c r="AT7" s="251"/>
      <c r="AU7" s="251"/>
      <c r="AV7" s="155"/>
      <c r="AW7" s="155"/>
      <c r="AX7" s="155"/>
      <c r="AY7" s="155"/>
      <c r="AZ7" s="155"/>
      <c r="BA7" s="155"/>
      <c r="BB7" s="155"/>
      <c r="BC7" s="149"/>
      <c r="BD7" s="106"/>
      <c r="BE7" s="106"/>
    </row>
    <row r="8" spans="1:68" ht="19.5" customHeight="1" x14ac:dyDescent="0.25">
      <c r="C8" s="151"/>
      <c r="D8" s="151"/>
      <c r="E8" s="151"/>
      <c r="F8" s="151"/>
      <c r="G8" s="151"/>
      <c r="H8" s="151"/>
      <c r="I8" s="151"/>
      <c r="J8" s="151"/>
      <c r="K8" s="151"/>
      <c r="L8" s="151"/>
      <c r="M8" s="151"/>
      <c r="N8" s="151"/>
      <c r="O8" s="151"/>
      <c r="P8" s="151"/>
      <c r="Q8" s="151"/>
      <c r="R8" s="151"/>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c r="AQ8" s="156"/>
      <c r="AR8" s="156"/>
      <c r="AS8" s="156"/>
      <c r="AT8" s="156"/>
      <c r="AU8" s="156"/>
      <c r="AV8" s="156"/>
      <c r="AW8" s="156"/>
      <c r="AX8" s="156"/>
      <c r="AY8" s="156"/>
      <c r="AZ8" s="156"/>
      <c r="BA8" s="156"/>
      <c r="BB8" s="156"/>
      <c r="BC8" s="149"/>
      <c r="BD8" s="106"/>
      <c r="BE8" s="106"/>
    </row>
    <row r="9" spans="1:68" ht="19.5" customHeight="1" x14ac:dyDescent="0.25">
      <c r="A9" s="38" t="s">
        <v>84</v>
      </c>
      <c r="C9" s="150"/>
      <c r="D9" s="150"/>
      <c r="E9" s="150"/>
      <c r="F9" s="150"/>
      <c r="G9" s="150"/>
      <c r="H9" s="150"/>
      <c r="I9" s="150"/>
      <c r="J9" s="150"/>
      <c r="K9" s="150"/>
      <c r="L9" s="150"/>
      <c r="M9" s="150"/>
      <c r="N9" s="150"/>
      <c r="O9" s="150"/>
      <c r="P9" s="150"/>
      <c r="Q9" s="150"/>
      <c r="R9" s="252">
        <v>0.67</v>
      </c>
      <c r="S9" s="252">
        <v>0.67</v>
      </c>
      <c r="T9" s="252">
        <v>0.68</v>
      </c>
      <c r="U9" s="157">
        <f>(U12/U5)*0.72+(U13/U5)*0.81</f>
        <v>0.72578283247551045</v>
      </c>
      <c r="V9" s="157">
        <f>(V12/V5)*0.74+(V13/V5)*0.82</f>
        <v>0.74559449941304712</v>
      </c>
      <c r="W9" s="157">
        <f>(W12/W5)*0.77+(W13/W5)*0.83</f>
        <v>0.77196815718157186</v>
      </c>
      <c r="X9" s="157">
        <f>(X12/X5)*0.78+(X13/X5)*0.84</f>
        <v>0.78351942372009264</v>
      </c>
      <c r="Y9" s="157">
        <f>(Y12/Y5)*0.78+(Y13/Y5)*0.85</f>
        <v>0.78627651078179084</v>
      </c>
      <c r="Z9" s="157">
        <f>(Z12/Z5)*0.8+(Z13/Z5)*0.86</f>
        <v>0.80389865656838877</v>
      </c>
      <c r="AA9" s="253">
        <v>0.82</v>
      </c>
      <c r="AB9" s="253">
        <v>0.83</v>
      </c>
      <c r="AC9" s="253">
        <v>0.84</v>
      </c>
      <c r="AD9" s="253">
        <v>0.85</v>
      </c>
      <c r="AE9" s="253">
        <v>0.85</v>
      </c>
      <c r="AF9" s="253">
        <v>0.85</v>
      </c>
      <c r="AG9" s="158">
        <f t="shared" ref="AG9:AL9" si="0">AF9</f>
        <v>0.85</v>
      </c>
      <c r="AH9" s="158">
        <f t="shared" si="0"/>
        <v>0.85</v>
      </c>
      <c r="AI9" s="158">
        <f t="shared" si="0"/>
        <v>0.85</v>
      </c>
      <c r="AJ9" s="158">
        <f t="shared" si="0"/>
        <v>0.85</v>
      </c>
      <c r="AK9" s="158">
        <f t="shared" si="0"/>
        <v>0.85</v>
      </c>
      <c r="AL9" s="158">
        <f t="shared" si="0"/>
        <v>0.85</v>
      </c>
      <c r="AM9" s="158">
        <f>AL9</f>
        <v>0.85</v>
      </c>
      <c r="AN9" s="158">
        <f>AM9</f>
        <v>0.85</v>
      </c>
      <c r="AO9" s="158">
        <f>AN9</f>
        <v>0.85</v>
      </c>
      <c r="AP9" s="158">
        <f>AO9</f>
        <v>0.85</v>
      </c>
      <c r="AQ9" s="158">
        <f>AP9</f>
        <v>0.85</v>
      </c>
      <c r="AR9" s="158"/>
      <c r="AS9" s="158"/>
      <c r="AT9" s="158"/>
      <c r="AU9" s="158"/>
      <c r="AV9" s="158"/>
      <c r="AW9" s="158"/>
      <c r="AX9" s="158"/>
      <c r="AY9" s="158"/>
      <c r="AZ9" s="158"/>
      <c r="BA9" s="158"/>
      <c r="BB9" s="158"/>
      <c r="BC9" s="149"/>
      <c r="BD9" s="106"/>
      <c r="BE9" s="106"/>
    </row>
    <row r="10" spans="1:68" ht="19.5" customHeight="1" x14ac:dyDescent="0.25">
      <c r="A10" s="38" t="s">
        <v>85</v>
      </c>
      <c r="C10" s="151"/>
      <c r="D10" s="151"/>
      <c r="E10" s="151"/>
      <c r="F10" s="151"/>
      <c r="G10" s="151"/>
      <c r="H10" s="151"/>
      <c r="I10" s="151"/>
      <c r="J10" s="151"/>
      <c r="K10" s="151"/>
      <c r="L10" s="151"/>
      <c r="M10" s="151"/>
      <c r="N10" s="151"/>
      <c r="O10" s="151"/>
      <c r="P10" s="151"/>
      <c r="Q10" s="151"/>
      <c r="R10" s="152">
        <f t="shared" ref="R10:V10" si="1">R5*R9</f>
        <v>8504.9800000000014</v>
      </c>
      <c r="S10" s="152">
        <f t="shared" si="1"/>
        <v>8247.7000000000007</v>
      </c>
      <c r="T10" s="152">
        <f t="shared" si="1"/>
        <v>8329.32</v>
      </c>
      <c r="U10" s="152">
        <f t="shared" si="1"/>
        <v>8742.7799999999988</v>
      </c>
      <c r="V10" s="153">
        <f t="shared" si="1"/>
        <v>8891.9599999999991</v>
      </c>
      <c r="W10" s="154">
        <f t="shared" ref="W10:AB10" si="2">W5*W9</f>
        <v>9115.4</v>
      </c>
      <c r="X10" s="154">
        <f t="shared" si="2"/>
        <v>9136.6200000000008</v>
      </c>
      <c r="Y10" s="154">
        <f t="shared" si="2"/>
        <v>8860.5500000000011</v>
      </c>
      <c r="Z10" s="154">
        <f t="shared" si="2"/>
        <v>8916.0399999999991</v>
      </c>
      <c r="AA10" s="154">
        <f t="shared" si="2"/>
        <v>8917.5</v>
      </c>
      <c r="AB10" s="154">
        <f t="shared" si="2"/>
        <v>9039.5299999999988</v>
      </c>
      <c r="AC10" s="154">
        <f t="shared" ref="AC10:AD10" si="3">AC5*AC9</f>
        <v>9203.0399999999991</v>
      </c>
      <c r="AD10" s="154">
        <f t="shared" si="3"/>
        <v>9256.5</v>
      </c>
      <c r="AE10" s="154">
        <f t="shared" ref="AE10:AF10" si="4">AE5*AE9</f>
        <v>9252.25</v>
      </c>
      <c r="AF10" s="154">
        <f t="shared" si="4"/>
        <v>9363.6</v>
      </c>
      <c r="AG10" s="159">
        <f t="shared" ref="AG10:AH10" si="5">AG5*AG9</f>
        <v>9480.0499999999993</v>
      </c>
      <c r="AH10" s="159">
        <f t="shared" si="5"/>
        <v>9548.9</v>
      </c>
      <c r="AI10" s="159">
        <f t="shared" ref="AI10:AJ10" si="6">AI5*AI9</f>
        <v>9622</v>
      </c>
      <c r="AJ10" s="159">
        <f t="shared" si="6"/>
        <v>9973.9</v>
      </c>
      <c r="AK10" s="159">
        <f t="shared" ref="AK10:AL10" si="7">AK5*AK9</f>
        <v>9448.6</v>
      </c>
      <c r="AL10" s="159">
        <f t="shared" si="7"/>
        <v>9571.85</v>
      </c>
      <c r="AM10" s="159">
        <f t="shared" ref="AM10:AN10" si="8">AM5*AM9</f>
        <v>9788.6</v>
      </c>
      <c r="AN10" s="159">
        <f t="shared" si="8"/>
        <v>9920.35</v>
      </c>
      <c r="AO10" s="159">
        <f t="shared" ref="AO10:AP10" si="9">AO5*AO9</f>
        <v>9903.35</v>
      </c>
      <c r="AP10" s="159">
        <f t="shared" si="9"/>
        <v>10065.699999999999</v>
      </c>
      <c r="AQ10" s="159">
        <f t="shared" ref="AQ10:AR10" si="10">AQ5*AQ9</f>
        <v>9894</v>
      </c>
      <c r="AR10" s="159">
        <f t="shared" si="10"/>
        <v>0</v>
      </c>
      <c r="AS10" s="159">
        <f t="shared" ref="AS10:AT10" si="11">AS5*AS9</f>
        <v>0</v>
      </c>
      <c r="AT10" s="159">
        <f t="shared" si="11"/>
        <v>0</v>
      </c>
      <c r="AU10" s="159">
        <f t="shared" ref="AU10:AV10" si="12">AU5*AU9</f>
        <v>0</v>
      </c>
      <c r="AV10" s="159">
        <f t="shared" si="12"/>
        <v>0</v>
      </c>
      <c r="AW10" s="159">
        <f t="shared" ref="AW10:AX10" si="13">AW5*AW9</f>
        <v>0</v>
      </c>
      <c r="AX10" s="159">
        <f t="shared" si="13"/>
        <v>0</v>
      </c>
      <c r="AY10" s="159">
        <f t="shared" ref="AY10:AZ10" si="14">AY5*AY9</f>
        <v>0</v>
      </c>
      <c r="AZ10" s="159">
        <f t="shared" si="14"/>
        <v>0</v>
      </c>
      <c r="BA10" s="159">
        <f t="shared" ref="BA10:BB10" si="15">BA5*BA9</f>
        <v>0</v>
      </c>
      <c r="BB10" s="159">
        <f t="shared" si="15"/>
        <v>0</v>
      </c>
      <c r="BC10" s="149"/>
      <c r="BD10" s="106"/>
      <c r="BE10" s="106"/>
    </row>
    <row r="11" spans="1:68" ht="19.5" customHeight="1" x14ac:dyDescent="0.25">
      <c r="C11" s="152"/>
      <c r="D11" s="152"/>
      <c r="E11" s="152"/>
      <c r="F11" s="152"/>
      <c r="G11" s="152"/>
      <c r="H11" s="152"/>
      <c r="I11" s="152"/>
      <c r="J11" s="152"/>
      <c r="K11" s="152"/>
      <c r="L11" s="152"/>
      <c r="M11" s="152">
        <f>SUM(M12:M13)</f>
        <v>12415</v>
      </c>
      <c r="N11" s="152">
        <f>SUM(N12:N13)</f>
        <v>12913</v>
      </c>
      <c r="O11" s="152">
        <f>SUM(O12:O13)</f>
        <v>13259</v>
      </c>
      <c r="P11" s="152">
        <f t="shared" ref="P11" si="16">SUM(P12:P13)</f>
        <v>12884</v>
      </c>
      <c r="Q11" s="152">
        <f t="shared" ref="Q11" si="17">SUM(Q12:Q13)</f>
        <v>12744</v>
      </c>
      <c r="R11" s="152">
        <f t="shared" ref="R11" si="18">SUM(R12:R13)</f>
        <v>12369</v>
      </c>
      <c r="S11" s="152">
        <f t="shared" ref="S11" si="19">SUM(S12:S13)</f>
        <v>12008</v>
      </c>
      <c r="T11" s="152">
        <f t="shared" ref="T11" si="20">SUM(T12:T13)</f>
        <v>11973</v>
      </c>
      <c r="U11" s="152">
        <f t="shared" ref="U11" si="21">SUM(U12:U13)</f>
        <v>11803</v>
      </c>
      <c r="V11" s="152">
        <f t="shared" ref="V11" si="22">SUM(V12:V13)</f>
        <v>11718</v>
      </c>
      <c r="W11" s="152">
        <f t="shared" ref="W11" si="23">SUM(W12:W13)</f>
        <v>11620</v>
      </c>
      <c r="X11" s="152">
        <f t="shared" ref="X11" si="24">SUM(X12:X13)</f>
        <v>11495</v>
      </c>
      <c r="Y11" s="152">
        <f t="shared" ref="Y11" si="25">SUM(Y12:Y13)</f>
        <v>11104</v>
      </c>
      <c r="Z11" s="152">
        <f t="shared" ref="Z11" si="26">SUM(Z12:Z13)</f>
        <v>10928</v>
      </c>
      <c r="AA11" s="152">
        <f t="shared" ref="AA11" si="27">SUM(AA12:AA13)</f>
        <v>10714</v>
      </c>
      <c r="AB11" s="152">
        <f t="shared" ref="AB11" si="28">SUM(AB12:AB13)</f>
        <v>10735</v>
      </c>
      <c r="AC11" s="152">
        <f t="shared" ref="AC11" si="29">SUM(AC12:AC13)</f>
        <v>10808</v>
      </c>
      <c r="AD11" s="152">
        <f t="shared" ref="AD11" si="30">SUM(AD12:AD13)</f>
        <v>10761</v>
      </c>
      <c r="AE11" s="152">
        <f t="shared" ref="AE11" si="31">SUM(AE12:AE13)</f>
        <v>10765</v>
      </c>
      <c r="AF11" s="152">
        <f t="shared" ref="AF11" si="32">SUM(AF12:AF13)</f>
        <v>10901</v>
      </c>
      <c r="AG11" s="152">
        <f t="shared" ref="AG11" si="33">SUM(AG12:AG13)</f>
        <v>11042</v>
      </c>
      <c r="AH11" s="152">
        <f t="shared" ref="AH11" si="34">SUM(AH12:AH13)</f>
        <v>11130</v>
      </c>
      <c r="AI11" s="152">
        <f t="shared" ref="AI11" si="35">SUM(AI12:AI13)</f>
        <v>11221</v>
      </c>
      <c r="AJ11" s="152">
        <f t="shared" ref="AJ11" si="36">SUM(AJ12:AJ13)</f>
        <v>11631</v>
      </c>
      <c r="AK11" s="152">
        <f t="shared" ref="AK11" si="37">SUM(AK12:AK13)</f>
        <v>11002</v>
      </c>
      <c r="AL11" s="152">
        <f t="shared" ref="AL11" si="38">SUM(AL12:AL13)</f>
        <v>11132</v>
      </c>
      <c r="AM11" s="152">
        <f t="shared" ref="AM11" si="39">SUM(AM12:AM13)</f>
        <v>11371</v>
      </c>
      <c r="AN11" s="152">
        <f t="shared" ref="AN11" si="40">SUM(AN12:AN13)</f>
        <v>11493</v>
      </c>
      <c r="AO11" s="152">
        <f t="shared" ref="AO11" si="41">SUM(AO12:AO13)</f>
        <v>11441</v>
      </c>
      <c r="AP11" s="152">
        <f t="shared" ref="AP11" si="42">SUM(AP12:AP13)</f>
        <v>11618</v>
      </c>
      <c r="AQ11" s="152">
        <f t="shared" ref="AQ11" si="43">SUM(AQ12:AQ13)</f>
        <v>11416</v>
      </c>
      <c r="AR11" s="152">
        <f t="shared" ref="AR11" si="44">SUM(AR12:AR13)</f>
        <v>11547</v>
      </c>
      <c r="AS11" s="152">
        <f t="shared" ref="AS11" si="45">SUM(AS12:AS13)</f>
        <v>11666</v>
      </c>
      <c r="AT11" s="152">
        <f t="shared" ref="AT11" si="46">SUM(AT12:AT13)</f>
        <v>11738</v>
      </c>
      <c r="AU11" s="152">
        <f t="shared" ref="AU11:AV11" si="47">SUM(AU12:AU13)</f>
        <v>11789</v>
      </c>
      <c r="AV11" s="152">
        <f t="shared" si="47"/>
        <v>11753</v>
      </c>
      <c r="AW11" s="152">
        <f t="shared" ref="AW11:AX11" si="48">SUM(AW12:AW13)</f>
        <v>12010</v>
      </c>
      <c r="AX11" s="152">
        <f t="shared" si="48"/>
        <v>12511</v>
      </c>
      <c r="AY11" s="152">
        <f t="shared" ref="AY11:AZ11" si="49">SUM(AY12:AY13)</f>
        <v>12430</v>
      </c>
      <c r="AZ11" s="152">
        <f t="shared" si="49"/>
        <v>12626</v>
      </c>
      <c r="BA11" s="152">
        <f t="shared" ref="BA11:BB11" si="50">SUM(BA12:BA13)</f>
        <v>12737</v>
      </c>
      <c r="BB11" s="152">
        <f t="shared" si="50"/>
        <v>12826</v>
      </c>
      <c r="BC11" s="160"/>
      <c r="BD11" s="106"/>
      <c r="BE11" s="106"/>
    </row>
    <row r="12" spans="1:68" ht="19.5" customHeight="1" x14ac:dyDescent="0.25">
      <c r="A12" s="38" t="s">
        <v>152</v>
      </c>
      <c r="C12" s="152"/>
      <c r="D12" s="152"/>
      <c r="E12" s="152"/>
      <c r="F12" s="152"/>
      <c r="G12" s="248">
        <v>10780</v>
      </c>
      <c r="H12" s="248">
        <v>10497</v>
      </c>
      <c r="I12" s="248">
        <v>9845</v>
      </c>
      <c r="J12" s="248">
        <v>9528</v>
      </c>
      <c r="K12" s="248">
        <v>9238</v>
      </c>
      <c r="L12" s="248">
        <v>9042</v>
      </c>
      <c r="M12" s="248">
        <v>9081</v>
      </c>
      <c r="N12" s="248">
        <v>9624</v>
      </c>
      <c r="O12" s="248">
        <v>9979</v>
      </c>
      <c r="P12" s="248">
        <v>10051</v>
      </c>
      <c r="Q12" s="248">
        <v>9927</v>
      </c>
      <c r="R12" s="248">
        <v>9567</v>
      </c>
      <c r="S12" s="254">
        <v>9279</v>
      </c>
      <c r="T12" s="254">
        <v>9273</v>
      </c>
      <c r="U12" s="254">
        <v>9085</v>
      </c>
      <c r="V12" s="254">
        <v>8960</v>
      </c>
      <c r="W12" s="254">
        <v>8820</v>
      </c>
      <c r="X12" s="254">
        <v>8653</v>
      </c>
      <c r="Y12" s="254">
        <v>8255</v>
      </c>
      <c r="Z12" s="254">
        <v>8034</v>
      </c>
      <c r="AA12" s="254">
        <v>7756</v>
      </c>
      <c r="AB12" s="254">
        <v>7716</v>
      </c>
      <c r="AC12" s="254">
        <v>7703</v>
      </c>
      <c r="AD12" s="254">
        <v>7571</v>
      </c>
      <c r="AE12" s="254">
        <v>7444</v>
      </c>
      <c r="AF12" s="254">
        <v>7463</v>
      </c>
      <c r="AG12" s="254">
        <v>7461</v>
      </c>
      <c r="AH12" s="254">
        <v>7375</v>
      </c>
      <c r="AI12" s="254">
        <v>7388</v>
      </c>
      <c r="AJ12" s="254">
        <v>7830</v>
      </c>
      <c r="AK12" s="254">
        <v>7147</v>
      </c>
      <c r="AL12" s="254">
        <v>7193</v>
      </c>
      <c r="AM12" s="254">
        <v>7365</v>
      </c>
      <c r="AN12" s="254">
        <v>7360</v>
      </c>
      <c r="AO12" s="254">
        <v>7334</v>
      </c>
      <c r="AP12" s="254">
        <v>7359</v>
      </c>
      <c r="AQ12" s="254">
        <v>7092</v>
      </c>
      <c r="AR12" s="254">
        <v>7149</v>
      </c>
      <c r="AS12" s="254">
        <v>7188</v>
      </c>
      <c r="AT12" s="254">
        <v>7147</v>
      </c>
      <c r="AU12" s="254">
        <v>7126</v>
      </c>
      <c r="AV12" s="254">
        <v>7032</v>
      </c>
      <c r="AW12" s="254">
        <v>7185</v>
      </c>
      <c r="AX12" s="254">
        <v>7589</v>
      </c>
      <c r="AY12" s="254">
        <v>7397</v>
      </c>
      <c r="AZ12" s="254">
        <v>7497</v>
      </c>
      <c r="BA12" s="254">
        <v>7494</v>
      </c>
      <c r="BB12" s="254">
        <v>7438</v>
      </c>
      <c r="BD12" s="106"/>
      <c r="BE12" s="51">
        <f>AQ12-AP12</f>
        <v>-267</v>
      </c>
      <c r="BF12" s="51">
        <f>AR12-AQ12</f>
        <v>57</v>
      </c>
      <c r="BG12" s="51">
        <f>AS12-AR12</f>
        <v>39</v>
      </c>
      <c r="BH12" s="51">
        <f>AT12-AS12</f>
        <v>-41</v>
      </c>
      <c r="BI12" s="51">
        <f>AU12-AT12</f>
        <v>-21</v>
      </c>
      <c r="BJ12" s="51">
        <f>AV12-AU12</f>
        <v>-94</v>
      </c>
      <c r="BK12" s="51">
        <f>AW12-AV12</f>
        <v>153</v>
      </c>
      <c r="BL12" s="51">
        <f>AX12-AW12</f>
        <v>404</v>
      </c>
      <c r="BM12" s="51">
        <f>AY12-AX12</f>
        <v>-192</v>
      </c>
      <c r="BN12" s="51">
        <f>AZ12-AY12</f>
        <v>100</v>
      </c>
      <c r="BO12" s="51">
        <f>BA12-AZ12</f>
        <v>-3</v>
      </c>
      <c r="BP12" s="51">
        <f>BB12-BA12</f>
        <v>-56</v>
      </c>
    </row>
    <row r="13" spans="1:68" ht="19.5" customHeight="1" x14ac:dyDescent="0.25">
      <c r="A13" s="38" t="s">
        <v>153</v>
      </c>
      <c r="C13" s="152"/>
      <c r="D13" s="152"/>
      <c r="E13" s="152"/>
      <c r="F13" s="152"/>
      <c r="G13" s="248">
        <v>3356</v>
      </c>
      <c r="H13" s="248">
        <v>3376</v>
      </c>
      <c r="I13" s="248">
        <v>3368</v>
      </c>
      <c r="J13" s="248">
        <v>3365</v>
      </c>
      <c r="K13" s="248">
        <v>3364</v>
      </c>
      <c r="L13" s="248">
        <v>3359</v>
      </c>
      <c r="M13" s="248">
        <v>3334</v>
      </c>
      <c r="N13" s="248">
        <v>3289</v>
      </c>
      <c r="O13" s="248">
        <v>3280</v>
      </c>
      <c r="P13" s="248">
        <v>2833</v>
      </c>
      <c r="Q13" s="248">
        <v>2817</v>
      </c>
      <c r="R13" s="248">
        <v>2802</v>
      </c>
      <c r="S13" s="254">
        <v>2729</v>
      </c>
      <c r="T13" s="254">
        <v>2700</v>
      </c>
      <c r="U13" s="254">
        <v>2718</v>
      </c>
      <c r="V13" s="254">
        <v>2758</v>
      </c>
      <c r="W13" s="254">
        <v>2800</v>
      </c>
      <c r="X13" s="254">
        <v>2842</v>
      </c>
      <c r="Y13" s="254">
        <v>2849</v>
      </c>
      <c r="Z13" s="254">
        <v>2894</v>
      </c>
      <c r="AA13" s="254">
        <v>2958</v>
      </c>
      <c r="AB13" s="254">
        <v>3019</v>
      </c>
      <c r="AC13" s="254">
        <v>3105</v>
      </c>
      <c r="AD13" s="254">
        <v>3190</v>
      </c>
      <c r="AE13" s="254">
        <v>3321</v>
      </c>
      <c r="AF13" s="254">
        <v>3438</v>
      </c>
      <c r="AG13" s="254">
        <v>3581</v>
      </c>
      <c r="AH13" s="254">
        <v>3755</v>
      </c>
      <c r="AI13" s="254">
        <v>3833</v>
      </c>
      <c r="AJ13" s="254">
        <v>3801</v>
      </c>
      <c r="AK13" s="254">
        <v>3855</v>
      </c>
      <c r="AL13" s="254">
        <v>3939</v>
      </c>
      <c r="AM13" s="254">
        <v>4006</v>
      </c>
      <c r="AN13" s="254">
        <v>4133</v>
      </c>
      <c r="AO13" s="254">
        <v>4107</v>
      </c>
      <c r="AP13" s="254">
        <v>4259</v>
      </c>
      <c r="AQ13" s="254">
        <v>4324</v>
      </c>
      <c r="AR13" s="254">
        <v>4398</v>
      </c>
      <c r="AS13" s="254">
        <v>4478</v>
      </c>
      <c r="AT13" s="254">
        <v>4591</v>
      </c>
      <c r="AU13" s="254">
        <v>4663</v>
      </c>
      <c r="AV13" s="254">
        <v>4721</v>
      </c>
      <c r="AW13" s="254">
        <v>4825</v>
      </c>
      <c r="AX13" s="254">
        <v>4922</v>
      </c>
      <c r="AY13" s="254">
        <v>5033</v>
      </c>
      <c r="AZ13" s="254">
        <v>5129</v>
      </c>
      <c r="BA13" s="254">
        <v>5243</v>
      </c>
      <c r="BB13" s="254">
        <v>5388</v>
      </c>
      <c r="BD13" s="106"/>
      <c r="BE13" s="51">
        <f>AQ13-AP13</f>
        <v>65</v>
      </c>
      <c r="BF13" s="51">
        <f t="shared" ref="BF13" si="51">AR13-AQ13</f>
        <v>74</v>
      </c>
      <c r="BG13" s="51">
        <f t="shared" ref="BG13" si="52">AS13-AR13</f>
        <v>80</v>
      </c>
      <c r="BH13" s="51">
        <f>AT13-AS13</f>
        <v>113</v>
      </c>
      <c r="BI13" s="51">
        <f>AU13-AT13</f>
        <v>72</v>
      </c>
      <c r="BJ13" s="51">
        <f>AV13-AU13</f>
        <v>58</v>
      </c>
      <c r="BK13" s="51">
        <f>AW13-AV13</f>
        <v>104</v>
      </c>
      <c r="BL13" s="51">
        <f>AX13-AW13</f>
        <v>97</v>
      </c>
      <c r="BM13" s="51">
        <f>AY13-AX13</f>
        <v>111</v>
      </c>
      <c r="BN13" s="51">
        <f>AZ13-AY13</f>
        <v>96</v>
      </c>
      <c r="BO13" s="51">
        <f>BA13-AZ13</f>
        <v>114</v>
      </c>
      <c r="BP13" s="51">
        <f>BB13-BA13</f>
        <v>145</v>
      </c>
    </row>
    <row r="14" spans="1:68" ht="19.5" customHeight="1" x14ac:dyDescent="0.25">
      <c r="A14" s="38" t="s">
        <v>154</v>
      </c>
      <c r="C14" s="152"/>
      <c r="D14" s="152"/>
      <c r="E14" s="152"/>
      <c r="F14" s="152"/>
      <c r="G14" s="248">
        <v>673</v>
      </c>
      <c r="H14" s="248">
        <v>663</v>
      </c>
      <c r="I14" s="248">
        <v>636</v>
      </c>
      <c r="J14" s="248">
        <v>596</v>
      </c>
      <c r="K14" s="248">
        <v>569</v>
      </c>
      <c r="L14" s="248">
        <v>532</v>
      </c>
      <c r="M14" s="248">
        <v>495</v>
      </c>
      <c r="N14" s="248">
        <v>440</v>
      </c>
      <c r="O14" s="248">
        <v>412</v>
      </c>
      <c r="P14" s="248">
        <v>385</v>
      </c>
      <c r="Q14" s="248">
        <v>357</v>
      </c>
      <c r="R14" s="248">
        <v>325</v>
      </c>
      <c r="S14" s="254">
        <v>302</v>
      </c>
      <c r="T14" s="254">
        <v>276</v>
      </c>
      <c r="U14" s="254">
        <v>243</v>
      </c>
      <c r="V14" s="254">
        <v>208</v>
      </c>
      <c r="W14" s="254">
        <v>188</v>
      </c>
      <c r="X14" s="254">
        <v>166</v>
      </c>
      <c r="Y14" s="254">
        <v>165</v>
      </c>
      <c r="Z14" s="254">
        <v>163</v>
      </c>
      <c r="AA14" s="254">
        <v>161</v>
      </c>
      <c r="AB14" s="254">
        <v>156</v>
      </c>
      <c r="AC14" s="254">
        <v>148</v>
      </c>
      <c r="AD14" s="254">
        <v>129</v>
      </c>
      <c r="AE14" s="254">
        <v>120</v>
      </c>
      <c r="AF14" s="254">
        <v>115</v>
      </c>
      <c r="AG14" s="254">
        <v>111</v>
      </c>
      <c r="AH14" s="254">
        <v>104</v>
      </c>
      <c r="AI14" s="254">
        <v>99</v>
      </c>
      <c r="AJ14" s="254">
        <v>103</v>
      </c>
      <c r="AK14" s="254">
        <v>114</v>
      </c>
      <c r="AL14" s="254">
        <v>129</v>
      </c>
      <c r="AM14" s="254">
        <v>145</v>
      </c>
      <c r="AN14" s="254">
        <v>178</v>
      </c>
      <c r="AO14" s="254">
        <v>210</v>
      </c>
      <c r="AP14" s="254">
        <v>225</v>
      </c>
      <c r="AQ14" s="254">
        <v>224</v>
      </c>
      <c r="AR14" s="254">
        <v>220</v>
      </c>
      <c r="AS14" s="254">
        <v>211</v>
      </c>
      <c r="AT14" s="254">
        <v>141</v>
      </c>
      <c r="AU14" s="254">
        <v>131</v>
      </c>
      <c r="AV14" s="254">
        <v>126</v>
      </c>
      <c r="AW14" s="254">
        <v>125</v>
      </c>
      <c r="AX14" s="254">
        <v>125</v>
      </c>
      <c r="AY14" s="254">
        <v>128</v>
      </c>
      <c r="AZ14" s="254">
        <v>127</v>
      </c>
      <c r="BA14" s="254">
        <v>125</v>
      </c>
      <c r="BB14" s="254">
        <v>121</v>
      </c>
      <c r="BC14" s="160"/>
      <c r="BD14" s="106"/>
      <c r="BE14" s="51">
        <f>SUM(BE12:BE13)</f>
        <v>-202</v>
      </c>
      <c r="BF14" s="51">
        <f t="shared" ref="BF14:BG14" si="53">SUM(BF12:BF13)</f>
        <v>131</v>
      </c>
      <c r="BG14" s="51">
        <f t="shared" si="53"/>
        <v>119</v>
      </c>
      <c r="BH14" s="51">
        <f>SUM(BH12:BH13)</f>
        <v>72</v>
      </c>
      <c r="BI14" s="51">
        <f>SUM(BI12:BI13)</f>
        <v>51</v>
      </c>
      <c r="BJ14" s="51">
        <f>SUM(BJ12:BJ13)</f>
        <v>-36</v>
      </c>
      <c r="BK14" s="51">
        <f t="shared" ref="BK14:BL14" si="54">SUM(BK12:BK13)</f>
        <v>257</v>
      </c>
      <c r="BL14" s="51">
        <f t="shared" si="54"/>
        <v>501</v>
      </c>
      <c r="BM14" s="51">
        <f t="shared" ref="BM14:BN14" si="55">SUM(BM12:BM13)</f>
        <v>-81</v>
      </c>
      <c r="BN14" s="51">
        <f t="shared" si="55"/>
        <v>196</v>
      </c>
      <c r="BO14" s="51">
        <f t="shared" ref="BO14:BP14" si="56">SUM(BO12:BO13)</f>
        <v>111</v>
      </c>
      <c r="BP14" s="51">
        <f t="shared" si="56"/>
        <v>89</v>
      </c>
    </row>
    <row r="15" spans="1:68" ht="19.5" customHeight="1" x14ac:dyDescent="0.25">
      <c r="C15" s="152"/>
      <c r="D15" s="152"/>
      <c r="E15" s="152"/>
      <c r="F15" s="152"/>
      <c r="G15" s="152"/>
      <c r="H15" s="152"/>
      <c r="I15" s="152"/>
      <c r="J15" s="152"/>
      <c r="K15" s="152"/>
      <c r="L15" s="152"/>
      <c r="M15" s="152"/>
      <c r="N15" s="152"/>
      <c r="O15" s="152"/>
      <c r="P15" s="152"/>
      <c r="Q15" s="152"/>
      <c r="R15" s="152"/>
      <c r="S15" s="160"/>
      <c r="T15" s="160"/>
      <c r="U15" s="160"/>
      <c r="V15" s="160"/>
      <c r="W15" s="160"/>
      <c r="X15" s="160"/>
      <c r="Y15" s="160"/>
      <c r="Z15" s="149"/>
      <c r="AA15" s="149"/>
      <c r="AB15" s="149"/>
      <c r="AC15" s="149"/>
      <c r="AD15" s="149"/>
      <c r="AE15" s="149"/>
      <c r="AF15" s="149"/>
      <c r="AG15" s="149"/>
      <c r="AH15" s="149"/>
      <c r="AI15" s="149"/>
      <c r="AJ15" s="149"/>
      <c r="AK15" s="149"/>
      <c r="AL15" s="149"/>
      <c r="AM15" s="149"/>
      <c r="AN15" s="149"/>
      <c r="AO15" s="149"/>
      <c r="AP15" s="149"/>
      <c r="AQ15" s="149"/>
      <c r="AR15" s="160"/>
      <c r="AS15" s="160"/>
      <c r="AT15" s="160"/>
      <c r="AU15" s="160"/>
      <c r="AV15" s="160"/>
      <c r="AW15" s="160"/>
      <c r="AX15" s="160">
        <f>AX16-AW16</f>
        <v>20</v>
      </c>
      <c r="AY15" s="160">
        <f>AY16-AX16</f>
        <v>14</v>
      </c>
      <c r="AZ15" s="160">
        <f>AZ16-AY16</f>
        <v>15</v>
      </c>
      <c r="BA15" s="160">
        <f>BA16-AZ16</f>
        <v>9</v>
      </c>
      <c r="BB15" s="160">
        <f>BB16-BA16</f>
        <v>7</v>
      </c>
      <c r="BC15" s="160"/>
      <c r="BD15" s="106"/>
      <c r="BE15" s="106"/>
    </row>
    <row r="16" spans="1:68" ht="19.5" customHeight="1" x14ac:dyDescent="0.25">
      <c r="A16" s="38" t="s">
        <v>157</v>
      </c>
      <c r="C16" s="152"/>
      <c r="D16" s="152"/>
      <c r="E16" s="152"/>
      <c r="F16" s="152"/>
      <c r="G16" s="248">
        <v>31</v>
      </c>
      <c r="H16" s="248">
        <v>36</v>
      </c>
      <c r="I16" s="248">
        <v>43</v>
      </c>
      <c r="J16" s="248">
        <v>52</v>
      </c>
      <c r="K16" s="248">
        <v>59</v>
      </c>
      <c r="L16" s="248">
        <v>66</v>
      </c>
      <c r="M16" s="248">
        <v>72</v>
      </c>
      <c r="N16" s="248">
        <v>80</v>
      </c>
      <c r="O16" s="248">
        <v>89</v>
      </c>
      <c r="P16" s="248">
        <v>99</v>
      </c>
      <c r="Q16" s="248">
        <v>107</v>
      </c>
      <c r="R16" s="248">
        <v>118</v>
      </c>
      <c r="S16" s="254">
        <v>126</v>
      </c>
      <c r="T16" s="254">
        <v>133</v>
      </c>
      <c r="U16" s="254">
        <v>139</v>
      </c>
      <c r="V16" s="254">
        <v>146</v>
      </c>
      <c r="W16" s="254">
        <v>153</v>
      </c>
      <c r="X16" s="254">
        <v>159</v>
      </c>
      <c r="Y16" s="254">
        <v>163</v>
      </c>
      <c r="Z16" s="254">
        <v>172</v>
      </c>
      <c r="AA16" s="254">
        <v>184</v>
      </c>
      <c r="AB16" s="254">
        <v>194</v>
      </c>
      <c r="AC16" s="254">
        <v>202</v>
      </c>
      <c r="AD16" s="254">
        <v>226</v>
      </c>
      <c r="AE16" s="254">
        <v>253</v>
      </c>
      <c r="AF16" s="254">
        <v>279</v>
      </c>
      <c r="AG16" s="254">
        <v>308</v>
      </c>
      <c r="AH16" s="254">
        <v>331</v>
      </c>
      <c r="AI16" s="254">
        <v>353</v>
      </c>
      <c r="AJ16" s="254">
        <v>371</v>
      </c>
      <c r="AK16" s="254">
        <v>383</v>
      </c>
      <c r="AL16" s="254">
        <v>402</v>
      </c>
      <c r="AM16" s="254">
        <v>423</v>
      </c>
      <c r="AN16" s="254">
        <v>444</v>
      </c>
      <c r="AO16" s="254">
        <v>470</v>
      </c>
      <c r="AP16" s="254">
        <v>494</v>
      </c>
      <c r="AQ16" s="254">
        <v>520</v>
      </c>
      <c r="AR16" s="254">
        <v>545</v>
      </c>
      <c r="AS16" s="254">
        <v>564</v>
      </c>
      <c r="AT16" s="254">
        <v>587</v>
      </c>
      <c r="AU16" s="254">
        <v>612</v>
      </c>
      <c r="AV16" s="254">
        <v>634</v>
      </c>
      <c r="AW16" s="254">
        <v>658</v>
      </c>
      <c r="AX16" s="254">
        <v>678</v>
      </c>
      <c r="AY16" s="254">
        <v>692</v>
      </c>
      <c r="AZ16" s="254">
        <v>707</v>
      </c>
      <c r="BA16" s="254">
        <v>716</v>
      </c>
      <c r="BB16" s="254">
        <v>723</v>
      </c>
      <c r="BC16" s="160"/>
      <c r="BD16" s="106"/>
      <c r="BE16" s="106"/>
    </row>
    <row r="17" spans="1:68" ht="19.5" customHeight="1" x14ac:dyDescent="0.25">
      <c r="A17" s="38" t="s">
        <v>351</v>
      </c>
      <c r="C17" s="152"/>
      <c r="D17" s="152"/>
      <c r="E17" s="152"/>
      <c r="F17" s="152"/>
      <c r="G17" s="152"/>
      <c r="H17" s="152"/>
      <c r="I17" s="152"/>
      <c r="J17" s="152"/>
      <c r="K17" s="152"/>
      <c r="L17" s="152"/>
      <c r="M17" s="152"/>
      <c r="N17" s="152"/>
      <c r="O17" s="152"/>
      <c r="P17" s="152"/>
      <c r="Q17" s="152"/>
      <c r="R17" s="152"/>
      <c r="S17" s="160"/>
      <c r="T17" s="160"/>
      <c r="U17" s="160"/>
      <c r="V17" s="160"/>
      <c r="W17" s="160"/>
      <c r="X17" s="160"/>
      <c r="Y17" s="160"/>
      <c r="Z17" s="160"/>
      <c r="AA17" s="160"/>
      <c r="AB17" s="160"/>
      <c r="AC17" s="160"/>
      <c r="AD17" s="160"/>
      <c r="AE17" s="160"/>
      <c r="AF17" s="160"/>
      <c r="AG17" s="160"/>
      <c r="AH17" s="160"/>
      <c r="AI17" s="254">
        <v>39</v>
      </c>
      <c r="AJ17" s="254">
        <v>40</v>
      </c>
      <c r="AK17" s="254">
        <v>41</v>
      </c>
      <c r="AL17" s="254">
        <v>42</v>
      </c>
      <c r="AM17" s="254">
        <v>42</v>
      </c>
      <c r="AN17" s="254">
        <v>43</v>
      </c>
      <c r="AO17" s="254">
        <v>42</v>
      </c>
      <c r="AP17" s="254">
        <v>42</v>
      </c>
      <c r="AQ17" s="254">
        <v>40</v>
      </c>
      <c r="AR17" s="254">
        <v>41</v>
      </c>
      <c r="AS17" s="254">
        <v>41</v>
      </c>
      <c r="AT17" s="254">
        <v>40</v>
      </c>
      <c r="AU17" s="254">
        <v>39</v>
      </c>
      <c r="AV17" s="254">
        <v>39</v>
      </c>
      <c r="AW17" s="254">
        <v>40</v>
      </c>
      <c r="AX17" s="254">
        <v>41</v>
      </c>
      <c r="AY17" s="254">
        <v>41</v>
      </c>
      <c r="AZ17" s="254">
        <v>41</v>
      </c>
      <c r="BA17" s="254">
        <v>43</v>
      </c>
      <c r="BB17" s="254">
        <v>43</v>
      </c>
      <c r="BC17" s="160"/>
      <c r="BD17" s="106"/>
      <c r="BE17" s="106"/>
    </row>
    <row r="18" spans="1:68" ht="19.5" customHeight="1" x14ac:dyDescent="0.25">
      <c r="C18" s="152"/>
      <c r="D18" s="152"/>
      <c r="E18" s="152"/>
      <c r="F18" s="152"/>
      <c r="G18" s="152"/>
      <c r="H18" s="152"/>
      <c r="I18" s="152"/>
      <c r="J18" s="152"/>
      <c r="K18" s="152"/>
      <c r="L18" s="152"/>
      <c r="M18" s="152"/>
      <c r="N18" s="152"/>
      <c r="O18" s="152"/>
      <c r="P18" s="152"/>
      <c r="Q18" s="152"/>
      <c r="R18" s="152"/>
      <c r="S18" s="160"/>
      <c r="T18" s="160"/>
      <c r="U18" s="160"/>
      <c r="V18" s="160"/>
      <c r="W18" s="160"/>
      <c r="X18" s="160"/>
      <c r="Y18" s="160"/>
      <c r="Z18" s="160"/>
      <c r="AA18" s="160"/>
      <c r="AB18" s="160"/>
      <c r="AC18" s="160"/>
      <c r="AD18" s="160"/>
      <c r="AE18" s="160"/>
      <c r="AF18" s="160"/>
      <c r="AG18" s="160"/>
      <c r="AH18" s="160"/>
      <c r="AI18" s="160"/>
      <c r="AJ18" s="160"/>
      <c r="AK18" s="160"/>
      <c r="AL18" s="160"/>
      <c r="AM18" s="160"/>
      <c r="AN18" s="160"/>
      <c r="AO18" s="160"/>
      <c r="AP18" s="160"/>
      <c r="AQ18" s="160"/>
      <c r="AR18" s="160"/>
      <c r="AS18" s="160"/>
      <c r="AT18" s="160"/>
      <c r="AU18" s="160"/>
      <c r="AV18" s="160"/>
      <c r="AW18" s="160"/>
      <c r="AX18" s="160"/>
      <c r="AY18" s="160"/>
      <c r="AZ18" s="160"/>
      <c r="BA18" s="149"/>
      <c r="BB18" s="149"/>
      <c r="BC18" s="160"/>
      <c r="BD18" s="106"/>
      <c r="BE18" s="106"/>
    </row>
    <row r="19" spans="1:68" ht="19.5" customHeight="1" x14ac:dyDescent="0.25">
      <c r="A19" s="38" t="s">
        <v>148</v>
      </c>
      <c r="C19" s="152"/>
      <c r="D19" s="152"/>
      <c r="E19" s="152"/>
      <c r="F19" s="152"/>
      <c r="G19" s="248">
        <v>997</v>
      </c>
      <c r="H19" s="248">
        <v>1015</v>
      </c>
      <c r="I19" s="248">
        <v>996</v>
      </c>
      <c r="J19" s="248">
        <v>1016</v>
      </c>
      <c r="K19" s="248">
        <v>984</v>
      </c>
      <c r="L19" s="248">
        <v>986</v>
      </c>
      <c r="M19" s="248">
        <v>962</v>
      </c>
      <c r="N19" s="248">
        <v>985</v>
      </c>
      <c r="O19" s="248">
        <v>972</v>
      </c>
      <c r="P19" s="248">
        <v>976</v>
      </c>
      <c r="Q19" s="248">
        <v>976</v>
      </c>
      <c r="R19" s="248">
        <v>1012</v>
      </c>
      <c r="S19" s="254">
        <v>997</v>
      </c>
      <c r="T19" s="254">
        <v>978</v>
      </c>
      <c r="U19" s="254">
        <v>965</v>
      </c>
      <c r="V19" s="254">
        <v>1010</v>
      </c>
      <c r="W19" s="254">
        <v>936</v>
      </c>
      <c r="X19" s="254">
        <v>946</v>
      </c>
      <c r="Y19" s="254">
        <v>997</v>
      </c>
      <c r="Z19" s="254">
        <v>903</v>
      </c>
      <c r="AA19" s="254">
        <v>985</v>
      </c>
      <c r="AB19" s="254">
        <v>1009</v>
      </c>
      <c r="AC19" s="254">
        <v>1025</v>
      </c>
      <c r="AD19" s="254">
        <v>1053</v>
      </c>
      <c r="AE19" s="254">
        <v>1000</v>
      </c>
      <c r="AF19" s="254">
        <v>972</v>
      </c>
      <c r="AG19" s="254">
        <v>979</v>
      </c>
      <c r="AH19" s="254">
        <v>989</v>
      </c>
      <c r="AI19" s="254">
        <v>984</v>
      </c>
      <c r="AJ19" s="254">
        <v>974</v>
      </c>
      <c r="AK19" s="254">
        <v>956</v>
      </c>
      <c r="AL19" s="254">
        <v>967</v>
      </c>
      <c r="AM19" s="254">
        <v>974</v>
      </c>
      <c r="AN19" s="254">
        <v>1002</v>
      </c>
      <c r="AO19" s="254">
        <v>1030</v>
      </c>
      <c r="AP19" s="254">
        <v>1019</v>
      </c>
      <c r="AQ19" s="160">
        <f>'Profit and Loss Highlights'!AQ36</f>
        <v>1041</v>
      </c>
      <c r="AR19" s="160">
        <f>'Profit and Loss Highlights'!AR36</f>
        <v>1069</v>
      </c>
      <c r="AS19" s="160">
        <f>'Profit and Loss Highlights'!AS36</f>
        <v>1092</v>
      </c>
      <c r="AT19" s="160">
        <f>'Profit and Loss Highlights'!AT36</f>
        <v>1112</v>
      </c>
      <c r="AU19" s="160">
        <f>'Profit and Loss Highlights'!AU36</f>
        <v>1123</v>
      </c>
      <c r="AV19" s="160">
        <f>'Profit and Loss Highlights'!AV36</f>
        <v>1128</v>
      </c>
      <c r="AW19" s="160">
        <f>'Profit and Loss Highlights'!AW36</f>
        <v>1154</v>
      </c>
      <c r="AX19" s="160">
        <f>'Profit and Loss Highlights'!AX36</f>
        <v>1186</v>
      </c>
      <c r="AY19" s="160">
        <f>'Profit and Loss Highlights'!AY36</f>
        <v>1190</v>
      </c>
      <c r="AZ19" s="160">
        <f>'Profit and Loss Highlights'!AZ36</f>
        <v>1201</v>
      </c>
      <c r="BA19" s="160">
        <f>'Profit and Loss Highlights'!BA36</f>
        <v>1212</v>
      </c>
      <c r="BB19" s="160">
        <f>'Profit and Loss Highlights'!BB36</f>
        <v>1240</v>
      </c>
      <c r="BC19" s="160"/>
      <c r="BD19" s="106"/>
      <c r="BE19" s="106"/>
    </row>
    <row r="20" spans="1:68" ht="19.5" customHeight="1" x14ac:dyDescent="0.25">
      <c r="A20" s="38" t="s">
        <v>149</v>
      </c>
      <c r="C20" s="152"/>
      <c r="D20" s="152"/>
      <c r="E20" s="152"/>
      <c r="F20" s="152"/>
      <c r="G20" s="248">
        <v>1069</v>
      </c>
      <c r="H20" s="248">
        <v>1047</v>
      </c>
      <c r="I20" s="248">
        <v>1055</v>
      </c>
      <c r="J20" s="248">
        <v>1008</v>
      </c>
      <c r="K20" s="248">
        <v>969</v>
      </c>
      <c r="L20" s="248">
        <v>972</v>
      </c>
      <c r="M20" s="248">
        <v>992</v>
      </c>
      <c r="N20" s="248">
        <v>1007</v>
      </c>
      <c r="O20" s="248">
        <v>1052</v>
      </c>
      <c r="P20" s="248">
        <v>1008</v>
      </c>
      <c r="Q20" s="248">
        <v>1070</v>
      </c>
      <c r="R20" s="248">
        <v>1035</v>
      </c>
      <c r="S20" s="254">
        <v>1008</v>
      </c>
      <c r="T20" s="254">
        <v>956</v>
      </c>
      <c r="U20" s="254">
        <v>1017</v>
      </c>
      <c r="V20" s="254">
        <v>1018</v>
      </c>
      <c r="W20" s="254">
        <v>1006</v>
      </c>
      <c r="X20" s="254">
        <v>982</v>
      </c>
      <c r="Y20" s="254">
        <v>947</v>
      </c>
      <c r="Z20" s="254">
        <v>994</v>
      </c>
      <c r="AA20" s="254">
        <v>849</v>
      </c>
      <c r="AB20" s="254">
        <v>854</v>
      </c>
      <c r="AC20" s="254">
        <v>851</v>
      </c>
      <c r="AD20" s="254">
        <v>845</v>
      </c>
      <c r="AE20" s="254">
        <v>797</v>
      </c>
      <c r="AF20" s="254">
        <v>791</v>
      </c>
      <c r="AG20" s="254">
        <v>794</v>
      </c>
      <c r="AH20" s="254">
        <v>783</v>
      </c>
      <c r="AI20" s="254">
        <v>714</v>
      </c>
      <c r="AJ20" s="254">
        <v>686</v>
      </c>
      <c r="AK20" s="254">
        <v>717</v>
      </c>
      <c r="AL20" s="254">
        <v>696</v>
      </c>
      <c r="AM20" s="254">
        <v>690</v>
      </c>
      <c r="AN20" s="254">
        <v>685</v>
      </c>
      <c r="AO20" s="254">
        <v>685</v>
      </c>
      <c r="AP20" s="254">
        <v>655</v>
      </c>
      <c r="AQ20" s="160">
        <f>'Profit and Loss Highlights'!AQ37</f>
        <v>657</v>
      </c>
      <c r="AR20" s="160">
        <f>'Profit and Loss Highlights'!AR37</f>
        <v>679</v>
      </c>
      <c r="AS20" s="160">
        <f>'Profit and Loss Highlights'!AS37</f>
        <v>676</v>
      </c>
      <c r="AT20" s="160">
        <f>'Profit and Loss Highlights'!AT37</f>
        <v>681</v>
      </c>
      <c r="AU20" s="160">
        <f>'Profit and Loss Highlights'!AU37</f>
        <v>661</v>
      </c>
      <c r="AV20" s="160">
        <f>'Profit and Loss Highlights'!AV37</f>
        <v>651</v>
      </c>
      <c r="AW20" s="160">
        <f>'Profit and Loss Highlights'!AW37</f>
        <v>652</v>
      </c>
      <c r="AX20" s="160">
        <f>'Profit and Loss Highlights'!AX37</f>
        <v>655</v>
      </c>
      <c r="AY20" s="160">
        <f>'Profit and Loss Highlights'!AY37</f>
        <v>649</v>
      </c>
      <c r="AZ20" s="160">
        <f>'Profit and Loss Highlights'!AZ37</f>
        <v>648</v>
      </c>
      <c r="BA20" s="160">
        <f>'Profit and Loss Highlights'!BA37</f>
        <v>641</v>
      </c>
      <c r="BB20" s="160">
        <f>'Profit and Loss Highlights'!BB37</f>
        <v>627</v>
      </c>
      <c r="BC20" s="160"/>
      <c r="BD20" s="106"/>
      <c r="BE20" s="106"/>
    </row>
    <row r="21" spans="1:68" ht="19.5" customHeight="1" x14ac:dyDescent="0.25">
      <c r="C21" s="152"/>
      <c r="D21" s="152"/>
      <c r="E21" s="152"/>
      <c r="F21" s="152"/>
      <c r="G21" s="149"/>
      <c r="H21" s="149"/>
      <c r="I21" s="149"/>
      <c r="J21" s="149"/>
      <c r="K21" s="149"/>
      <c r="L21" s="149"/>
      <c r="M21" s="149"/>
      <c r="N21" s="149"/>
      <c r="O21" s="149"/>
      <c r="P21" s="149"/>
      <c r="Q21" s="149"/>
      <c r="R21" s="149"/>
      <c r="S21" s="149"/>
      <c r="T21" s="149"/>
      <c r="U21" s="149"/>
      <c r="V21" s="149"/>
      <c r="W21" s="149"/>
      <c r="X21" s="149"/>
      <c r="Y21" s="149"/>
      <c r="Z21" s="149"/>
      <c r="AA21" s="149"/>
      <c r="AB21" s="149"/>
      <c r="AC21" s="149"/>
      <c r="AD21" s="149"/>
      <c r="AE21" s="149"/>
      <c r="AF21" s="149"/>
      <c r="AG21" s="149"/>
      <c r="AH21" s="149"/>
      <c r="AI21" s="149"/>
      <c r="AJ21" s="149"/>
      <c r="AK21" s="149"/>
      <c r="AL21" s="149"/>
      <c r="AM21" s="149"/>
      <c r="AN21" s="149"/>
      <c r="AO21" s="149"/>
      <c r="AP21" s="149"/>
      <c r="AQ21" s="149"/>
      <c r="AR21" s="149"/>
      <c r="AS21" s="149"/>
      <c r="AT21" s="149"/>
      <c r="AU21" s="149"/>
      <c r="AV21" s="149"/>
      <c r="AW21" s="149"/>
      <c r="AX21" s="149"/>
      <c r="AY21" s="149"/>
      <c r="AZ21" s="149"/>
      <c r="BA21" s="149"/>
      <c r="BB21" s="149"/>
      <c r="BC21" s="160"/>
      <c r="BD21" s="106"/>
      <c r="BE21" s="106"/>
    </row>
    <row r="22" spans="1:68" ht="19.5" customHeight="1" x14ac:dyDescent="0.25">
      <c r="A22" s="37" t="s">
        <v>370</v>
      </c>
      <c r="B22" s="37"/>
      <c r="C22" s="152"/>
      <c r="D22" s="152"/>
      <c r="E22" s="152"/>
      <c r="F22" s="152"/>
      <c r="G22" s="150"/>
      <c r="H22" s="152"/>
      <c r="I22" s="152"/>
      <c r="J22" s="152"/>
      <c r="K22" s="152"/>
      <c r="L22" s="152"/>
      <c r="M22" s="152"/>
      <c r="N22" s="152"/>
      <c r="O22" s="152"/>
      <c r="P22" s="152"/>
      <c r="Q22" s="152"/>
      <c r="R22" s="152"/>
      <c r="S22" s="160"/>
      <c r="T22" s="160"/>
      <c r="U22" s="160"/>
      <c r="V22" s="160"/>
      <c r="W22" s="160"/>
      <c r="X22" s="149"/>
      <c r="Y22" s="149"/>
      <c r="Z22" s="149"/>
      <c r="AA22" s="149"/>
      <c r="AB22" s="149"/>
      <c r="AC22" s="149"/>
      <c r="AD22" s="149"/>
      <c r="AE22" s="149"/>
      <c r="AF22" s="149"/>
      <c r="AG22" s="149"/>
      <c r="AH22" s="149"/>
      <c r="AI22" s="149"/>
      <c r="AJ22" s="149"/>
      <c r="AK22" s="149"/>
      <c r="AL22" s="149"/>
      <c r="AM22" s="149"/>
      <c r="AN22" s="149"/>
      <c r="AO22" s="149"/>
      <c r="AP22" s="149"/>
      <c r="AQ22" s="149"/>
      <c r="BC22" s="160"/>
      <c r="BD22" s="106"/>
      <c r="BE22" s="106"/>
    </row>
    <row r="23" spans="1:68" ht="19.5" customHeight="1" x14ac:dyDescent="0.25">
      <c r="A23" s="38" t="s">
        <v>155</v>
      </c>
      <c r="C23" s="148"/>
      <c r="D23" s="148"/>
      <c r="E23" s="148"/>
      <c r="F23" s="148"/>
      <c r="G23" s="255">
        <v>32</v>
      </c>
      <c r="H23" s="255">
        <v>31</v>
      </c>
      <c r="I23" s="255">
        <v>33</v>
      </c>
      <c r="J23" s="255">
        <v>33</v>
      </c>
      <c r="K23" s="255">
        <v>33</v>
      </c>
      <c r="L23" s="255">
        <v>34</v>
      </c>
      <c r="M23" s="255">
        <v>35</v>
      </c>
      <c r="N23" s="255">
        <v>35</v>
      </c>
      <c r="O23" s="255">
        <v>35</v>
      </c>
      <c r="P23" s="255">
        <v>33</v>
      </c>
      <c r="Q23" s="255">
        <v>35</v>
      </c>
      <c r="R23" s="255">
        <v>35</v>
      </c>
      <c r="S23" s="256">
        <v>35</v>
      </c>
      <c r="T23" s="256">
        <v>34</v>
      </c>
      <c r="U23" s="256">
        <v>36</v>
      </c>
      <c r="V23" s="256">
        <v>37</v>
      </c>
      <c r="W23" s="256">
        <v>36</v>
      </c>
      <c r="X23" s="256">
        <v>36</v>
      </c>
      <c r="Y23" s="256">
        <v>36</v>
      </c>
      <c r="Z23" s="256">
        <v>36</v>
      </c>
      <c r="AA23" s="256">
        <v>35</v>
      </c>
      <c r="AB23" s="256">
        <v>37</v>
      </c>
      <c r="AC23" s="256">
        <v>36</v>
      </c>
      <c r="AD23" s="256">
        <v>37</v>
      </c>
      <c r="AE23" s="256">
        <v>35</v>
      </c>
      <c r="AF23" s="256">
        <v>35</v>
      </c>
      <c r="AG23" s="256">
        <v>35</v>
      </c>
      <c r="AH23" s="256">
        <v>35</v>
      </c>
      <c r="AI23" s="256">
        <v>32</v>
      </c>
      <c r="AJ23" s="256">
        <v>30.6</v>
      </c>
      <c r="AK23" s="256">
        <v>33.1</v>
      </c>
      <c r="AL23" s="256">
        <v>32.4</v>
      </c>
      <c r="AM23" s="256">
        <v>31.6</v>
      </c>
      <c r="AN23" s="256">
        <v>31</v>
      </c>
      <c r="AO23" s="256">
        <v>30.5</v>
      </c>
      <c r="AP23" s="256">
        <v>29.7</v>
      </c>
      <c r="AQ23" s="256">
        <v>30.2</v>
      </c>
      <c r="AR23" s="256">
        <v>31.8</v>
      </c>
      <c r="AS23" s="256">
        <v>31.3</v>
      </c>
      <c r="AT23" s="256">
        <v>31.8</v>
      </c>
      <c r="AU23" s="256">
        <v>30.7</v>
      </c>
      <c r="AV23" s="256">
        <v>30.8</v>
      </c>
      <c r="AW23" s="256">
        <v>30.7</v>
      </c>
      <c r="AX23" s="256">
        <v>29.6</v>
      </c>
      <c r="AY23" s="256">
        <v>28.7</v>
      </c>
      <c r="AZ23" s="256">
        <v>28.9</v>
      </c>
      <c r="BA23" s="256">
        <v>28.4</v>
      </c>
      <c r="BB23" s="256">
        <v>28.1</v>
      </c>
      <c r="BC23" s="160"/>
      <c r="BD23" s="106"/>
      <c r="BE23" s="106"/>
      <c r="BF23" s="179">
        <f>AR23/AN23-1</f>
        <v>2.5806451612903292E-2</v>
      </c>
      <c r="BG23" s="179">
        <f t="shared" ref="BG23:BP26" si="57">AS23/AO23-1</f>
        <v>2.6229508196721429E-2</v>
      </c>
      <c r="BH23" s="179">
        <f t="shared" si="57"/>
        <v>7.0707070707070718E-2</v>
      </c>
      <c r="BI23" s="179">
        <f t="shared" si="57"/>
        <v>1.655629139072845E-2</v>
      </c>
      <c r="BJ23" s="179">
        <f t="shared" si="57"/>
        <v>-3.1446540880503138E-2</v>
      </c>
      <c r="BK23" s="179">
        <f t="shared" si="57"/>
        <v>-1.9169329073482455E-2</v>
      </c>
      <c r="BL23" s="179">
        <f t="shared" si="57"/>
        <v>-6.9182389937106903E-2</v>
      </c>
      <c r="BM23" s="179">
        <f t="shared" si="57"/>
        <v>-6.514657980456029E-2</v>
      </c>
      <c r="BN23" s="179">
        <f t="shared" si="57"/>
        <v>-6.1688311688311792E-2</v>
      </c>
      <c r="BO23" s="179">
        <f t="shared" si="57"/>
        <v>-7.4918566775244333E-2</v>
      </c>
      <c r="BP23" s="179">
        <f t="shared" si="57"/>
        <v>-5.0675675675675658E-2</v>
      </c>
    </row>
    <row r="24" spans="1:68" ht="19.5" customHeight="1" x14ac:dyDescent="0.25">
      <c r="A24" s="38" t="s">
        <v>427</v>
      </c>
      <c r="C24" s="148"/>
      <c r="D24" s="148"/>
      <c r="E24" s="148"/>
      <c r="F24" s="148"/>
      <c r="G24" s="255">
        <v>102</v>
      </c>
      <c r="H24" s="255">
        <v>103</v>
      </c>
      <c r="I24" s="255">
        <v>100</v>
      </c>
      <c r="J24" s="255">
        <v>100</v>
      </c>
      <c r="K24" s="255">
        <v>96</v>
      </c>
      <c r="L24" s="255">
        <v>97</v>
      </c>
      <c r="M24" s="255">
        <v>94</v>
      </c>
      <c r="N24" s="255">
        <v>97</v>
      </c>
      <c r="O24" s="255">
        <v>95</v>
      </c>
      <c r="P24" s="255">
        <v>96</v>
      </c>
      <c r="Q24" s="255">
        <v>97</v>
      </c>
      <c r="R24" s="255">
        <v>102</v>
      </c>
      <c r="S24" s="256">
        <v>101</v>
      </c>
      <c r="T24" s="256">
        <v>101</v>
      </c>
      <c r="U24" s="256">
        <v>100</v>
      </c>
      <c r="V24" s="256">
        <v>104</v>
      </c>
      <c r="W24" s="256">
        <v>96</v>
      </c>
      <c r="X24" s="256">
        <v>96</v>
      </c>
      <c r="Y24" s="256">
        <v>96</v>
      </c>
      <c r="Z24" s="256">
        <v>96</v>
      </c>
      <c r="AA24" s="256">
        <v>92</v>
      </c>
      <c r="AB24" s="256">
        <v>94</v>
      </c>
      <c r="AC24" s="256">
        <v>93</v>
      </c>
      <c r="AD24" s="256">
        <v>94</v>
      </c>
      <c r="AE24" s="256">
        <v>88</v>
      </c>
      <c r="AF24" s="256">
        <v>86</v>
      </c>
      <c r="AG24" s="256">
        <v>85</v>
      </c>
      <c r="AH24" s="256">
        <v>84</v>
      </c>
      <c r="AI24" s="256">
        <v>81</v>
      </c>
      <c r="AJ24" s="256">
        <v>79.5</v>
      </c>
      <c r="AK24" s="256">
        <v>78.400000000000006</v>
      </c>
      <c r="AL24" s="256">
        <v>77.3</v>
      </c>
      <c r="AM24" s="256">
        <v>76</v>
      </c>
      <c r="AN24" s="256">
        <v>75.400000000000006</v>
      </c>
      <c r="AO24" s="256">
        <v>75</v>
      </c>
      <c r="AP24" s="256">
        <v>73.400000000000006</v>
      </c>
      <c r="AQ24" s="256">
        <v>72.5</v>
      </c>
      <c r="AR24" s="256">
        <v>72.7</v>
      </c>
      <c r="AS24" s="256">
        <v>72.8</v>
      </c>
      <c r="AT24" s="256">
        <v>72.7</v>
      </c>
      <c r="AU24" s="256">
        <v>71.3</v>
      </c>
      <c r="AV24" s="256">
        <v>71</v>
      </c>
      <c r="AW24" s="256">
        <v>70.2</v>
      </c>
      <c r="AX24" s="256">
        <v>69.8</v>
      </c>
      <c r="AY24" s="256">
        <v>68.3</v>
      </c>
      <c r="AZ24" s="256">
        <v>67.5</v>
      </c>
      <c r="BA24" s="256">
        <v>67</v>
      </c>
      <c r="BB24" s="256">
        <v>67.599999999999994</v>
      </c>
      <c r="BC24" s="160"/>
      <c r="BD24" s="106"/>
      <c r="BE24" s="106"/>
      <c r="BF24" s="179">
        <f t="shared" ref="BF24:BF26" si="58">AR24/AN24-1</f>
        <v>-3.5809018567639295E-2</v>
      </c>
      <c r="BG24" s="179">
        <f t="shared" si="57"/>
        <v>-2.9333333333333322E-2</v>
      </c>
      <c r="BH24" s="179">
        <f t="shared" si="57"/>
        <v>-9.5367847411444995E-3</v>
      </c>
      <c r="BI24" s="179">
        <f t="shared" si="57"/>
        <v>-1.6551724137931045E-2</v>
      </c>
      <c r="BJ24" s="179">
        <f t="shared" si="57"/>
        <v>-2.3383768913342595E-2</v>
      </c>
      <c r="BK24" s="179">
        <f t="shared" si="57"/>
        <v>-3.5714285714285587E-2</v>
      </c>
      <c r="BL24" s="179">
        <f t="shared" si="57"/>
        <v>-3.9889958734525499E-2</v>
      </c>
      <c r="BM24" s="179">
        <f t="shared" si="57"/>
        <v>-4.2075736325385749E-2</v>
      </c>
      <c r="BN24" s="179">
        <f t="shared" si="57"/>
        <v>-4.9295774647887369E-2</v>
      </c>
      <c r="BO24" s="179">
        <f t="shared" si="57"/>
        <v>-4.5584045584045607E-2</v>
      </c>
      <c r="BP24" s="179">
        <f t="shared" si="57"/>
        <v>-3.1518624641833859E-2</v>
      </c>
    </row>
    <row r="25" spans="1:68" s="37" customFormat="1" ht="19.5" customHeight="1" x14ac:dyDescent="0.25">
      <c r="A25" s="38" t="s">
        <v>426</v>
      </c>
      <c r="B25" s="38"/>
      <c r="C25" s="246">
        <v>52</v>
      </c>
      <c r="D25" s="246">
        <v>52</v>
      </c>
      <c r="E25" s="246">
        <v>48</v>
      </c>
      <c r="F25" s="246">
        <v>48</v>
      </c>
      <c r="G25" s="255">
        <v>46</v>
      </c>
      <c r="H25" s="255">
        <v>46</v>
      </c>
      <c r="I25" s="255">
        <v>48</v>
      </c>
      <c r="J25" s="255">
        <v>49</v>
      </c>
      <c r="K25" s="255">
        <v>48</v>
      </c>
      <c r="L25" s="255">
        <v>50</v>
      </c>
      <c r="M25" s="255">
        <v>50</v>
      </c>
      <c r="N25" s="255">
        <v>50</v>
      </c>
      <c r="O25" s="255">
        <v>48</v>
      </c>
      <c r="P25" s="255">
        <v>47</v>
      </c>
      <c r="Q25" s="255">
        <v>49</v>
      </c>
      <c r="R25" s="255">
        <v>50</v>
      </c>
      <c r="S25" s="256">
        <v>50</v>
      </c>
      <c r="T25" s="256">
        <v>49</v>
      </c>
      <c r="U25" s="256">
        <v>50</v>
      </c>
      <c r="V25" s="256">
        <v>52</v>
      </c>
      <c r="W25" s="256">
        <v>51</v>
      </c>
      <c r="X25" s="256">
        <v>51</v>
      </c>
      <c r="Y25" s="256">
        <v>51</v>
      </c>
      <c r="Z25" s="256">
        <v>51</v>
      </c>
      <c r="AA25" s="256">
        <v>51</v>
      </c>
      <c r="AB25" s="256">
        <v>53</v>
      </c>
      <c r="AC25" s="256">
        <v>53</v>
      </c>
      <c r="AD25" s="256">
        <v>53</v>
      </c>
      <c r="AE25" s="256">
        <v>51</v>
      </c>
      <c r="AF25" s="256">
        <v>51</v>
      </c>
      <c r="AG25" s="256">
        <v>51</v>
      </c>
      <c r="AH25" s="256">
        <v>51</v>
      </c>
      <c r="AI25" s="256">
        <v>49</v>
      </c>
      <c r="AJ25" s="256">
        <v>47</v>
      </c>
      <c r="AK25" s="256">
        <v>48.7</v>
      </c>
      <c r="AL25" s="256">
        <v>48.3</v>
      </c>
      <c r="AM25" s="256">
        <v>47.4</v>
      </c>
      <c r="AN25" s="256">
        <v>47</v>
      </c>
      <c r="AO25" s="256">
        <v>46.6</v>
      </c>
      <c r="AP25" s="256">
        <v>45.9</v>
      </c>
      <c r="AQ25" s="256">
        <v>46.2</v>
      </c>
      <c r="AR25" s="256">
        <v>47.7</v>
      </c>
      <c r="AS25" s="256">
        <v>47.3</v>
      </c>
      <c r="AT25" s="256">
        <v>47.8</v>
      </c>
      <c r="AU25" s="256">
        <v>46.9</v>
      </c>
      <c r="AV25" s="256">
        <v>47</v>
      </c>
      <c r="AW25" s="256">
        <v>46.7</v>
      </c>
      <c r="AX25" s="256">
        <v>45.8</v>
      </c>
      <c r="AY25" s="256">
        <v>44.7</v>
      </c>
      <c r="AZ25" s="256">
        <v>44.7</v>
      </c>
      <c r="BA25" s="256">
        <v>44.2</v>
      </c>
      <c r="BB25" s="256">
        <v>44.5</v>
      </c>
      <c r="BC25" s="146"/>
      <c r="BD25" s="106" t="s">
        <v>378</v>
      </c>
      <c r="BE25" s="147"/>
      <c r="BF25" s="179">
        <f t="shared" si="58"/>
        <v>1.4893617021276562E-2</v>
      </c>
      <c r="BG25" s="179">
        <f t="shared" si="57"/>
        <v>1.5021459227467782E-2</v>
      </c>
      <c r="BH25" s="179">
        <f t="shared" si="57"/>
        <v>4.1394335511982572E-2</v>
      </c>
      <c r="BI25" s="179">
        <f t="shared" si="57"/>
        <v>1.5151515151515138E-2</v>
      </c>
      <c r="BJ25" s="179">
        <f t="shared" si="57"/>
        <v>-1.4675052410901501E-2</v>
      </c>
      <c r="BK25" s="179">
        <f t="shared" si="57"/>
        <v>-1.2684989429175397E-2</v>
      </c>
      <c r="BL25" s="179">
        <f t="shared" si="57"/>
        <v>-4.1841004184100417E-2</v>
      </c>
      <c r="BM25" s="179">
        <f t="shared" si="57"/>
        <v>-4.6908315565031944E-2</v>
      </c>
      <c r="BN25" s="179">
        <f t="shared" si="57"/>
        <v>-4.8936170212765862E-2</v>
      </c>
      <c r="BO25" s="179">
        <f t="shared" si="57"/>
        <v>-5.3533190578158418E-2</v>
      </c>
      <c r="BP25" s="179">
        <f t="shared" si="57"/>
        <v>-2.8384279475982432E-2</v>
      </c>
    </row>
    <row r="26" spans="1:68" s="37" customFormat="1" ht="19.5" customHeight="1" x14ac:dyDescent="0.25">
      <c r="A26" s="38" t="s">
        <v>371</v>
      </c>
      <c r="B26" s="38"/>
      <c r="C26" s="148"/>
      <c r="D26" s="148"/>
      <c r="E26" s="148"/>
      <c r="F26" s="148"/>
      <c r="G26" s="144"/>
      <c r="H26" s="144"/>
      <c r="I26" s="144"/>
      <c r="J26" s="144"/>
      <c r="K26" s="144"/>
      <c r="L26" s="144"/>
      <c r="M26" s="144"/>
      <c r="N26" s="144"/>
      <c r="O26" s="144"/>
      <c r="P26" s="144"/>
      <c r="Q26" s="144"/>
      <c r="R26" s="144"/>
      <c r="S26" s="145"/>
      <c r="T26" s="145"/>
      <c r="U26" s="145"/>
      <c r="V26" s="145"/>
      <c r="W26" s="145"/>
      <c r="X26" s="145"/>
      <c r="Y26" s="145"/>
      <c r="Z26" s="145"/>
      <c r="AA26" s="145"/>
      <c r="AB26" s="145"/>
      <c r="AC26" s="145"/>
      <c r="AD26" s="145"/>
      <c r="AE26" s="145"/>
      <c r="AF26" s="145"/>
      <c r="AG26" s="145"/>
      <c r="AH26" s="145"/>
      <c r="AI26" s="145"/>
      <c r="AJ26" s="256">
        <v>105</v>
      </c>
      <c r="AK26" s="256">
        <v>102</v>
      </c>
      <c r="AL26" s="256">
        <v>107</v>
      </c>
      <c r="AM26" s="256">
        <v>108.1</v>
      </c>
      <c r="AN26" s="256">
        <v>108.9</v>
      </c>
      <c r="AO26" s="256">
        <v>108.4</v>
      </c>
      <c r="AP26" s="256">
        <v>109.5</v>
      </c>
      <c r="AQ26" s="256">
        <v>107.8</v>
      </c>
      <c r="AR26" s="256">
        <v>108.3</v>
      </c>
      <c r="AS26" s="256">
        <v>108</v>
      </c>
      <c r="AT26" s="256">
        <v>108.5</v>
      </c>
      <c r="AU26" s="256">
        <v>107.1</v>
      </c>
      <c r="AV26" s="256">
        <v>107.4</v>
      </c>
      <c r="AW26" s="256">
        <v>108.9</v>
      </c>
      <c r="AX26" s="256">
        <v>108.3</v>
      </c>
      <c r="AY26" s="256">
        <v>109.6</v>
      </c>
      <c r="AZ26" s="256">
        <v>109.9</v>
      </c>
      <c r="BA26" s="256">
        <v>108.6</v>
      </c>
      <c r="BB26" s="256">
        <v>109.4</v>
      </c>
      <c r="BC26" s="146"/>
      <c r="BD26" s="147"/>
      <c r="BE26" s="147"/>
      <c r="BF26" s="179">
        <f t="shared" si="58"/>
        <v>-5.5096418732782926E-3</v>
      </c>
      <c r="BG26" s="179">
        <f t="shared" si="57"/>
        <v>-3.6900369003690647E-3</v>
      </c>
      <c r="BH26" s="179">
        <f t="shared" si="57"/>
        <v>-9.1324200913242004E-3</v>
      </c>
      <c r="BI26" s="179">
        <f t="shared" si="57"/>
        <v>-6.4935064935065512E-3</v>
      </c>
      <c r="BJ26" s="179">
        <f t="shared" si="57"/>
        <v>-8.310249307479145E-3</v>
      </c>
      <c r="BK26" s="179">
        <f t="shared" si="57"/>
        <v>8.3333333333333037E-3</v>
      </c>
      <c r="BL26" s="179">
        <f t="shared" si="57"/>
        <v>-1.8433179723502668E-3</v>
      </c>
      <c r="BM26" s="179">
        <f t="shared" si="57"/>
        <v>2.3342670401493848E-2</v>
      </c>
      <c r="BN26" s="179">
        <f t="shared" si="57"/>
        <v>2.3277467411545683E-2</v>
      </c>
      <c r="BO26" s="179">
        <f t="shared" si="57"/>
        <v>-2.7548209366392573E-3</v>
      </c>
      <c r="BP26" s="179">
        <f t="shared" si="57"/>
        <v>1.0156971375808066E-2</v>
      </c>
    </row>
    <row r="27" spans="1:68" ht="19.5" customHeight="1" x14ac:dyDescent="0.25">
      <c r="C27" s="152"/>
      <c r="D27" s="152"/>
      <c r="E27" s="152"/>
      <c r="F27" s="152"/>
      <c r="G27" s="152"/>
      <c r="H27" s="152"/>
      <c r="I27" s="152"/>
      <c r="J27" s="152"/>
      <c r="K27" s="152"/>
      <c r="L27" s="152"/>
      <c r="M27" s="152"/>
      <c r="N27" s="152"/>
      <c r="O27" s="152"/>
      <c r="P27" s="152"/>
      <c r="Q27" s="152"/>
      <c r="R27" s="152"/>
      <c r="S27" s="160"/>
      <c r="T27" s="160"/>
      <c r="U27" s="160"/>
      <c r="V27" s="160"/>
      <c r="W27" s="160"/>
      <c r="X27" s="160"/>
      <c r="Y27" s="160"/>
      <c r="Z27" s="160"/>
      <c r="AA27" s="160"/>
      <c r="AB27" s="160"/>
      <c r="AC27" s="160"/>
      <c r="AD27" s="160"/>
      <c r="AE27" s="160"/>
      <c r="AF27" s="160"/>
      <c r="AG27" s="160"/>
      <c r="AH27" s="160"/>
      <c r="AI27" s="160"/>
      <c r="AJ27" s="160"/>
      <c r="AK27" s="160"/>
      <c r="AL27" s="160"/>
      <c r="AM27" s="160"/>
      <c r="AN27" s="160"/>
      <c r="AO27" s="160"/>
      <c r="AP27" s="149">
        <f t="shared" ref="AP27:BB27" si="59">AP26/AL26-1</f>
        <v>2.3364485981308469E-2</v>
      </c>
      <c r="AQ27" s="149">
        <f t="shared" si="59"/>
        <v>-2.7752081406104967E-3</v>
      </c>
      <c r="AR27" s="149">
        <f t="shared" si="59"/>
        <v>-5.5096418732782926E-3</v>
      </c>
      <c r="AS27" s="149">
        <f t="shared" si="59"/>
        <v>-3.6900369003690647E-3</v>
      </c>
      <c r="AT27" s="149">
        <f t="shared" si="59"/>
        <v>-9.1324200913242004E-3</v>
      </c>
      <c r="AU27" s="149">
        <f t="shared" si="59"/>
        <v>-6.4935064935065512E-3</v>
      </c>
      <c r="AV27" s="149">
        <f t="shared" si="59"/>
        <v>-8.310249307479145E-3</v>
      </c>
      <c r="AW27" s="149">
        <f t="shared" si="59"/>
        <v>8.3333333333333037E-3</v>
      </c>
      <c r="AX27" s="149">
        <f t="shared" si="59"/>
        <v>-1.8433179723502668E-3</v>
      </c>
      <c r="AY27" s="149">
        <f t="shared" si="59"/>
        <v>2.3342670401493848E-2</v>
      </c>
      <c r="AZ27" s="149">
        <f t="shared" si="59"/>
        <v>2.3277467411545683E-2</v>
      </c>
      <c r="BA27" s="149">
        <f t="shared" si="59"/>
        <v>-2.7548209366392573E-3</v>
      </c>
      <c r="BB27" s="149">
        <f t="shared" si="59"/>
        <v>1.0156971375808066E-2</v>
      </c>
      <c r="BC27" s="160"/>
      <c r="BD27" s="106"/>
      <c r="BE27" s="106"/>
    </row>
    <row r="28" spans="1:68" ht="19.5" hidden="1" customHeight="1" outlineLevel="1" x14ac:dyDescent="0.25">
      <c r="A28" s="38" t="s">
        <v>125</v>
      </c>
      <c r="C28" s="152"/>
      <c r="D28" s="152"/>
      <c r="E28" s="152"/>
      <c r="F28" s="152"/>
      <c r="G28" s="248">
        <v>125</v>
      </c>
      <c r="H28" s="248">
        <v>119</v>
      </c>
      <c r="I28" s="248">
        <v>116</v>
      </c>
      <c r="J28" s="248">
        <v>117</v>
      </c>
      <c r="K28" s="248">
        <v>118</v>
      </c>
      <c r="L28" s="248">
        <v>124</v>
      </c>
      <c r="M28" s="248">
        <v>131</v>
      </c>
      <c r="N28" s="248">
        <v>133</v>
      </c>
      <c r="O28" s="248">
        <v>126</v>
      </c>
      <c r="P28" s="248">
        <v>131</v>
      </c>
      <c r="Q28" s="248">
        <v>134</v>
      </c>
      <c r="R28" s="248">
        <v>129</v>
      </c>
      <c r="S28" s="254">
        <v>141</v>
      </c>
      <c r="T28" s="254">
        <v>162</v>
      </c>
      <c r="U28" s="254">
        <v>155</v>
      </c>
      <c r="V28" s="254">
        <v>138</v>
      </c>
      <c r="W28" s="254">
        <v>136</v>
      </c>
      <c r="X28" s="254">
        <v>131</v>
      </c>
      <c r="Y28" s="254">
        <v>133</v>
      </c>
      <c r="Z28" s="254">
        <v>129</v>
      </c>
      <c r="AA28" s="254">
        <v>129</v>
      </c>
      <c r="AB28" s="254">
        <v>128</v>
      </c>
      <c r="AC28" s="254">
        <v>129</v>
      </c>
      <c r="AD28" s="254">
        <v>125</v>
      </c>
      <c r="AE28" s="254">
        <v>120</v>
      </c>
      <c r="AF28" s="257">
        <v>120</v>
      </c>
      <c r="AG28" s="257">
        <v>120</v>
      </c>
      <c r="AH28" s="161">
        <f t="shared" ref="AH28:AL28" si="60">AG28</f>
        <v>120</v>
      </c>
      <c r="AI28" s="161">
        <f t="shared" si="60"/>
        <v>120</v>
      </c>
      <c r="AJ28" s="161">
        <f t="shared" si="60"/>
        <v>120</v>
      </c>
      <c r="AK28" s="161">
        <f t="shared" si="60"/>
        <v>120</v>
      </c>
      <c r="AL28" s="161">
        <f t="shared" si="60"/>
        <v>120</v>
      </c>
      <c r="AM28" s="161">
        <f t="shared" ref="AM28:BB28" si="61">AL28</f>
        <v>120</v>
      </c>
      <c r="AN28" s="161">
        <f t="shared" si="61"/>
        <v>120</v>
      </c>
      <c r="AO28" s="161">
        <f t="shared" si="61"/>
        <v>120</v>
      </c>
      <c r="AP28" s="161">
        <f t="shared" si="61"/>
        <v>120</v>
      </c>
      <c r="AQ28" s="161">
        <f t="shared" si="61"/>
        <v>120</v>
      </c>
      <c r="AR28" s="161">
        <f t="shared" si="61"/>
        <v>120</v>
      </c>
      <c r="AS28" s="161">
        <f t="shared" si="61"/>
        <v>120</v>
      </c>
      <c r="AT28" s="161">
        <f t="shared" si="61"/>
        <v>120</v>
      </c>
      <c r="AU28" s="161">
        <f t="shared" si="61"/>
        <v>120</v>
      </c>
      <c r="AV28" s="161">
        <f t="shared" si="61"/>
        <v>120</v>
      </c>
      <c r="AW28" s="161">
        <f t="shared" si="61"/>
        <v>120</v>
      </c>
      <c r="AX28" s="161">
        <f t="shared" si="61"/>
        <v>120</v>
      </c>
      <c r="AY28" s="161">
        <f t="shared" si="61"/>
        <v>120</v>
      </c>
      <c r="AZ28" s="161">
        <f t="shared" si="61"/>
        <v>120</v>
      </c>
      <c r="BA28" s="161">
        <f t="shared" si="61"/>
        <v>120</v>
      </c>
      <c r="BB28" s="161">
        <f t="shared" si="61"/>
        <v>120</v>
      </c>
      <c r="BC28" s="160"/>
      <c r="BD28" s="106"/>
      <c r="BE28" s="106"/>
    </row>
    <row r="29" spans="1:68" ht="19.5" hidden="1" customHeight="1" outlineLevel="1" x14ac:dyDescent="0.25">
      <c r="A29" s="38" t="s">
        <v>125</v>
      </c>
      <c r="C29" s="248">
        <v>175</v>
      </c>
      <c r="D29" s="248">
        <v>175</v>
      </c>
      <c r="E29" s="248">
        <v>160</v>
      </c>
      <c r="F29" s="248">
        <v>165</v>
      </c>
      <c r="G29" s="248">
        <v>160</v>
      </c>
      <c r="H29" s="248">
        <v>156</v>
      </c>
      <c r="I29" s="248">
        <v>153</v>
      </c>
      <c r="J29" s="248">
        <v>155</v>
      </c>
      <c r="K29" s="248">
        <v>154</v>
      </c>
      <c r="L29" s="248">
        <v>161</v>
      </c>
      <c r="M29" s="248">
        <v>165</v>
      </c>
      <c r="N29" s="248">
        <v>168</v>
      </c>
      <c r="O29" s="152"/>
      <c r="P29" s="152"/>
      <c r="Q29" s="152"/>
      <c r="R29" s="152"/>
      <c r="S29" s="160"/>
      <c r="T29" s="160"/>
      <c r="U29" s="160"/>
      <c r="V29" s="160"/>
      <c r="W29" s="160"/>
      <c r="X29" s="160"/>
      <c r="Y29" s="160"/>
      <c r="Z29" s="160"/>
      <c r="AA29" s="160"/>
      <c r="AB29" s="160"/>
      <c r="AC29" s="160"/>
      <c r="AD29" s="160"/>
      <c r="AE29" s="160"/>
      <c r="AF29" s="160"/>
      <c r="AG29" s="160"/>
      <c r="AH29" s="160"/>
      <c r="AI29" s="160"/>
      <c r="AJ29" s="160"/>
      <c r="AK29" s="160"/>
      <c r="AL29" s="160"/>
      <c r="AM29" s="160"/>
      <c r="AN29" s="160"/>
      <c r="AO29" s="160"/>
      <c r="AP29" s="160"/>
      <c r="AQ29" s="160"/>
      <c r="AR29" s="160"/>
      <c r="AS29" s="160"/>
      <c r="AT29" s="160"/>
      <c r="AU29" s="160"/>
      <c r="AV29" s="160"/>
      <c r="AW29" s="160"/>
      <c r="AX29" s="160"/>
      <c r="AY29" s="160"/>
      <c r="AZ29" s="160"/>
      <c r="BA29" s="160"/>
      <c r="BB29" s="160"/>
      <c r="BC29" s="157"/>
      <c r="BD29" s="147"/>
      <c r="BE29" s="106"/>
    </row>
    <row r="30" spans="1:68" ht="19.5" hidden="1" customHeight="1" outlineLevel="1" x14ac:dyDescent="0.25">
      <c r="C30" s="152"/>
      <c r="D30" s="152"/>
      <c r="E30" s="152"/>
      <c r="F30" s="152"/>
      <c r="G30" s="152"/>
      <c r="H30" s="152"/>
      <c r="I30" s="152"/>
      <c r="J30" s="152"/>
      <c r="K30" s="152"/>
      <c r="L30" s="152"/>
      <c r="M30" s="152"/>
      <c r="N30" s="152"/>
      <c r="O30" s="152"/>
      <c r="P30" s="152"/>
      <c r="Q30" s="152"/>
      <c r="R30" s="152"/>
      <c r="S30" s="160"/>
      <c r="T30" s="160"/>
      <c r="U30" s="160"/>
      <c r="V30" s="160"/>
      <c r="W30" s="160"/>
      <c r="X30" s="160"/>
      <c r="Y30" s="160"/>
      <c r="Z30" s="160"/>
      <c r="AA30" s="160"/>
      <c r="AB30" s="160"/>
      <c r="AC30" s="160"/>
      <c r="AD30" s="160"/>
      <c r="AE30" s="160"/>
      <c r="AF30" s="160"/>
      <c r="AG30" s="160"/>
      <c r="AH30" s="160"/>
      <c r="AI30" s="160"/>
      <c r="AJ30" s="160"/>
      <c r="AK30" s="160"/>
      <c r="AL30" s="160"/>
      <c r="AM30" s="160"/>
      <c r="AN30" s="160"/>
      <c r="AO30" s="160"/>
      <c r="AP30" s="160"/>
      <c r="AQ30" s="160"/>
      <c r="AR30" s="160"/>
      <c r="AS30" s="160"/>
      <c r="AT30" s="160"/>
      <c r="AU30" s="160"/>
      <c r="AV30" s="160"/>
      <c r="AW30" s="160"/>
      <c r="AX30" s="160"/>
      <c r="AY30" s="160"/>
      <c r="AZ30" s="160"/>
      <c r="BA30" s="160"/>
      <c r="BB30" s="160"/>
      <c r="BC30" s="157"/>
      <c r="BD30" s="147"/>
      <c r="BE30" s="106"/>
    </row>
    <row r="31" spans="1:68" ht="19.5" hidden="1" customHeight="1" outlineLevel="1" x14ac:dyDescent="0.25">
      <c r="A31" s="38" t="s">
        <v>89</v>
      </c>
      <c r="C31" s="152">
        <f>'Profit and Loss Highlights'!C5*1000/AVERAGE(C5,A5)/3</f>
        <v>27.958544227524708</v>
      </c>
      <c r="D31" s="152">
        <f>'Profit and Loss Highlights'!D5*1000/AVERAGE(D5,C5)/3</f>
        <v>28.009786551927785</v>
      </c>
      <c r="E31" s="152">
        <f>'Profit and Loss Highlights'!E5*1000/AVERAGE(E5,D5)/3</f>
        <v>28.02896566631841</v>
      </c>
      <c r="F31" s="152">
        <f>'Profit and Loss Highlights'!F5*1000/AVERAGE(F5,E5)/3</f>
        <v>28.121765818493273</v>
      </c>
      <c r="G31" s="152">
        <f>'Profit and Loss Highlights'!G5*1000/AVERAGE(G5,F5)/3</f>
        <v>27.089902103187256</v>
      </c>
      <c r="H31" s="152">
        <f>'Profit and Loss Highlights'!H5*1000/AVERAGE(H5,G5)/3</f>
        <v>26.991324217215894</v>
      </c>
      <c r="I31" s="152">
        <f>'Profit and Loss Highlights'!I5*1000/AVERAGE(I5,H5)/3</f>
        <v>28.255679440793525</v>
      </c>
      <c r="J31" s="152">
        <f>'Profit and Loss Highlights'!J5*1000/AVERAGE(J5,I5)/3</f>
        <v>28.754564723307542</v>
      </c>
      <c r="K31" s="152">
        <f>'Profit and Loss Highlights'!K5*1000/AVERAGE(K5,J5)/3</f>
        <v>28.659214225011439</v>
      </c>
      <c r="L31" s="152">
        <f>'Profit and Loss Highlights'!L5*1000/AVERAGE(L5,K5)/3</f>
        <v>29.009852151075204</v>
      </c>
      <c r="M31" s="152">
        <f>'Profit and Loss Highlights'!M5*1000/AVERAGE(M5,L5)/3</f>
        <v>29.282183537502686</v>
      </c>
      <c r="N31" s="152">
        <f>'Profit and Loss Highlights'!N5*1000/AVERAGE(N5,M5)/3</f>
        <v>28.848178563908192</v>
      </c>
      <c r="O31" s="152"/>
      <c r="P31" s="152"/>
      <c r="Q31" s="152"/>
      <c r="R31" s="152"/>
      <c r="S31" s="152"/>
      <c r="T31" s="152"/>
      <c r="U31" s="152"/>
      <c r="V31" s="160"/>
      <c r="W31" s="160"/>
      <c r="X31" s="160"/>
      <c r="Y31" s="160"/>
      <c r="Z31" s="160"/>
      <c r="AA31" s="160"/>
      <c r="AB31" s="160"/>
      <c r="AC31" s="160"/>
      <c r="AD31" s="160"/>
      <c r="AE31" s="160"/>
      <c r="AF31" s="160"/>
      <c r="AG31" s="160"/>
      <c r="AH31" s="160"/>
      <c r="AI31" s="160"/>
      <c r="AJ31" s="160"/>
      <c r="AK31" s="160"/>
      <c r="AL31" s="160"/>
      <c r="AM31" s="160"/>
      <c r="AN31" s="160"/>
      <c r="AO31" s="160"/>
      <c r="AP31" s="160"/>
      <c r="AQ31" s="160"/>
      <c r="AR31" s="160"/>
      <c r="AS31" s="160"/>
      <c r="AT31" s="160"/>
      <c r="AU31" s="160"/>
      <c r="AV31" s="160"/>
      <c r="AW31" s="160"/>
      <c r="AX31" s="160"/>
      <c r="AY31" s="160"/>
      <c r="AZ31" s="160"/>
      <c r="BA31" s="160"/>
      <c r="BB31" s="160"/>
      <c r="BC31" s="157"/>
      <c r="BD31" s="147"/>
      <c r="BE31" s="106"/>
    </row>
    <row r="32" spans="1:68" ht="19.5" hidden="1" customHeight="1" outlineLevel="1" x14ac:dyDescent="0.25">
      <c r="A32" s="38" t="s">
        <v>90</v>
      </c>
      <c r="C32" s="162">
        <f>C31/C29</f>
        <v>0.15976310987156978</v>
      </c>
      <c r="D32" s="162">
        <f>D31/D29</f>
        <v>0.16005592315387307</v>
      </c>
      <c r="E32" s="162">
        <f t="shared" ref="E32:N32" si="62">E31/E29</f>
        <v>0.17518103541449007</v>
      </c>
      <c r="F32" s="162">
        <f t="shared" si="62"/>
        <v>0.17043494435450468</v>
      </c>
      <c r="G32" s="162">
        <f t="shared" si="62"/>
        <v>0.16931188814492035</v>
      </c>
      <c r="H32" s="162">
        <f t="shared" si="62"/>
        <v>0.17302130908471727</v>
      </c>
      <c r="I32" s="162">
        <f t="shared" si="62"/>
        <v>0.18467764340387924</v>
      </c>
      <c r="J32" s="162">
        <f t="shared" si="62"/>
        <v>0.18551332079553254</v>
      </c>
      <c r="K32" s="162">
        <f t="shared" si="62"/>
        <v>0.18609879366890544</v>
      </c>
      <c r="L32" s="162">
        <f t="shared" si="62"/>
        <v>0.18018541708742364</v>
      </c>
      <c r="M32" s="162">
        <f t="shared" si="62"/>
        <v>0.1774677790151678</v>
      </c>
      <c r="N32" s="162">
        <f t="shared" si="62"/>
        <v>0.17171534859469162</v>
      </c>
      <c r="O32" s="162"/>
      <c r="P32" s="162"/>
      <c r="Q32" s="162"/>
      <c r="R32" s="162"/>
      <c r="S32" s="162"/>
      <c r="T32" s="162"/>
      <c r="U32" s="162"/>
      <c r="V32" s="163"/>
      <c r="W32" s="163"/>
      <c r="X32" s="163"/>
      <c r="Y32" s="163"/>
      <c r="Z32" s="163"/>
      <c r="AA32" s="163"/>
      <c r="AB32" s="163"/>
      <c r="AC32" s="163"/>
      <c r="AD32" s="163"/>
      <c r="AE32" s="163"/>
      <c r="AF32" s="163"/>
      <c r="AG32" s="163"/>
      <c r="AH32" s="163"/>
      <c r="AI32" s="163"/>
      <c r="AJ32" s="163"/>
      <c r="AK32" s="163"/>
      <c r="AL32" s="163"/>
      <c r="AM32" s="163"/>
      <c r="AN32" s="163"/>
      <c r="AO32" s="163"/>
      <c r="AP32" s="163"/>
      <c r="AQ32" s="163"/>
      <c r="AR32" s="163"/>
      <c r="AS32" s="163"/>
      <c r="AT32" s="163"/>
      <c r="AU32" s="163"/>
      <c r="AV32" s="163"/>
      <c r="AW32" s="163"/>
      <c r="AX32" s="163"/>
      <c r="AY32" s="163"/>
      <c r="AZ32" s="163"/>
      <c r="BA32" s="163"/>
      <c r="BB32" s="163"/>
      <c r="BC32" s="157"/>
      <c r="BD32" s="147"/>
      <c r="BE32" s="106"/>
    </row>
    <row r="33" spans="1:57" ht="19.5" hidden="1" customHeight="1" outlineLevel="1" x14ac:dyDescent="0.25">
      <c r="C33" s="162"/>
      <c r="D33" s="162"/>
      <c r="E33" s="162"/>
      <c r="F33" s="162"/>
      <c r="G33" s="162"/>
      <c r="H33" s="162"/>
      <c r="I33" s="162"/>
      <c r="J33" s="162"/>
      <c r="K33" s="162"/>
      <c r="L33" s="162"/>
      <c r="M33" s="162"/>
      <c r="N33" s="162"/>
      <c r="O33" s="162"/>
      <c r="P33" s="162"/>
      <c r="Q33" s="162"/>
      <c r="R33" s="162"/>
      <c r="S33" s="163"/>
      <c r="T33" s="163"/>
      <c r="U33" s="163"/>
      <c r="V33" s="163"/>
      <c r="W33" s="163"/>
      <c r="X33" s="163"/>
      <c r="Y33" s="163"/>
      <c r="Z33" s="163"/>
      <c r="AA33" s="163"/>
      <c r="AB33" s="163"/>
      <c r="AC33" s="163"/>
      <c r="AD33" s="163"/>
      <c r="AE33" s="163"/>
      <c r="AF33" s="163"/>
      <c r="AG33" s="163"/>
      <c r="AH33" s="163"/>
      <c r="AI33" s="163"/>
      <c r="AJ33" s="163"/>
      <c r="AK33" s="163"/>
      <c r="AL33" s="163"/>
      <c r="AM33" s="163"/>
      <c r="AN33" s="163"/>
      <c r="AO33" s="163"/>
      <c r="AP33" s="163"/>
      <c r="AQ33" s="163"/>
      <c r="AR33" s="163"/>
      <c r="AS33" s="163"/>
      <c r="AT33" s="163"/>
      <c r="AU33" s="163"/>
      <c r="AV33" s="163"/>
      <c r="AW33" s="163"/>
      <c r="AX33" s="163"/>
      <c r="AY33" s="163"/>
      <c r="AZ33" s="163"/>
      <c r="BA33" s="163"/>
      <c r="BB33" s="163"/>
      <c r="BC33" s="164"/>
      <c r="BD33" s="106"/>
      <c r="BE33" s="106"/>
    </row>
    <row r="34" spans="1:57" ht="19.5" hidden="1" customHeight="1" outlineLevel="1" x14ac:dyDescent="0.25">
      <c r="C34" s="150"/>
      <c r="D34" s="150"/>
      <c r="E34" s="150"/>
      <c r="F34" s="150"/>
      <c r="G34" s="150"/>
      <c r="H34" s="150"/>
      <c r="I34" s="150"/>
      <c r="J34" s="150"/>
      <c r="K34" s="150"/>
      <c r="L34" s="150"/>
      <c r="M34" s="150"/>
      <c r="N34" s="150"/>
      <c r="O34" s="150"/>
      <c r="P34" s="150"/>
      <c r="Q34" s="150"/>
      <c r="R34" s="150"/>
      <c r="S34" s="149"/>
      <c r="T34" s="149"/>
      <c r="U34" s="149"/>
      <c r="V34" s="149"/>
      <c r="W34" s="149"/>
      <c r="X34" s="149"/>
      <c r="Y34" s="149"/>
      <c r="Z34" s="149"/>
      <c r="AA34" s="149"/>
      <c r="AB34" s="149"/>
      <c r="AC34" s="149"/>
      <c r="AD34" s="149"/>
      <c r="AE34" s="149"/>
      <c r="AF34" s="149"/>
      <c r="AG34" s="149"/>
      <c r="AH34" s="149"/>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06"/>
      <c r="BE34" s="106"/>
    </row>
    <row r="35" spans="1:57" ht="19.5" hidden="1" customHeight="1" outlineLevel="1" x14ac:dyDescent="0.25">
      <c r="A35" s="38" t="s">
        <v>87</v>
      </c>
      <c r="C35" s="152"/>
      <c r="D35" s="152">
        <f>'Profit and Loss Highlights'!D6*1000/AVERAGE(D5,C5)/3</f>
        <v>10.148124043340443</v>
      </c>
      <c r="E35" s="152">
        <f>'Profit and Loss Highlights'!E6*1000/AVERAGE(E5,D5)/3</f>
        <v>10.063527518583902</v>
      </c>
      <c r="F35" s="152">
        <f>'Profit and Loss Highlights'!F6*1000/AVERAGE(F5,E5)/3</f>
        <v>10.94417282276388</v>
      </c>
      <c r="G35" s="152">
        <f>'Profit and Loss Highlights'!G6*1000/AVERAGE(G5,F5)/3</f>
        <v>11.006010793448354</v>
      </c>
      <c r="H35" s="152">
        <f>'Profit and Loss Highlights'!H6*1000/AVERAGE(H5,G5)/3</f>
        <v>11.781927237673605</v>
      </c>
      <c r="I35" s="152">
        <f>'Profit and Loss Highlights'!I6*1000/AVERAGE(I5,H5)/3</f>
        <v>12.454158359792267</v>
      </c>
      <c r="J35" s="152">
        <f>'Profit and Loss Highlights'!J6*1000/AVERAGE(J5,I5)/3</f>
        <v>13.38134273091754</v>
      </c>
      <c r="K35" s="152">
        <f>'Profit and Loss Highlights'!K6*1000/AVERAGE(K5,J5)/3</f>
        <v>13.702033078381382</v>
      </c>
      <c r="L35" s="152">
        <f>'Profit and Loss Highlights'!L6*1000/AVERAGE(L5,K5)/3</f>
        <v>15.091522350651255</v>
      </c>
      <c r="M35" s="152">
        <f>'Profit and Loss Highlights'!M6*1000/AVERAGE(M5,L5)/3</f>
        <v>15.823124865678055</v>
      </c>
      <c r="N35" s="152">
        <f>'Profit and Loss Highlights'!N6*1000/AVERAGE(N5,M5)/3</f>
        <v>16.793009054537798</v>
      </c>
      <c r="O35" s="152"/>
      <c r="P35" s="152"/>
      <c r="Q35" s="152"/>
      <c r="R35" s="152"/>
      <c r="S35" s="152"/>
      <c r="T35" s="152"/>
      <c r="U35" s="152"/>
      <c r="V35" s="160"/>
      <c r="W35" s="160"/>
      <c r="X35" s="160"/>
      <c r="Y35" s="160"/>
      <c r="Z35" s="160"/>
      <c r="AA35" s="160"/>
      <c r="AB35" s="160"/>
      <c r="AC35" s="160"/>
      <c r="AD35" s="160"/>
      <c r="AE35" s="160"/>
      <c r="AF35" s="160"/>
      <c r="AG35" s="160"/>
      <c r="AH35" s="160"/>
      <c r="AI35" s="160"/>
      <c r="AJ35" s="160"/>
      <c r="AK35" s="160"/>
      <c r="AL35" s="160"/>
      <c r="AM35" s="160"/>
      <c r="AN35" s="160"/>
      <c r="AO35" s="160"/>
      <c r="AP35" s="160"/>
      <c r="AQ35" s="160"/>
      <c r="AR35" s="160"/>
      <c r="AS35" s="160"/>
      <c r="AT35" s="160"/>
      <c r="AU35" s="160"/>
      <c r="AV35" s="160"/>
      <c r="AW35" s="160"/>
      <c r="AX35" s="160"/>
      <c r="AY35" s="160"/>
      <c r="AZ35" s="160"/>
      <c r="BA35" s="160"/>
      <c r="BB35" s="160"/>
      <c r="BC35" s="160"/>
      <c r="BD35" s="147"/>
      <c r="BE35" s="106"/>
    </row>
    <row r="36" spans="1:57" ht="19.5" hidden="1" customHeight="1" outlineLevel="1" x14ac:dyDescent="0.25">
      <c r="A36" s="38" t="s">
        <v>88</v>
      </c>
      <c r="C36" s="152"/>
      <c r="D36" s="152"/>
      <c r="E36" s="152"/>
      <c r="F36" s="152"/>
      <c r="G36" s="152"/>
      <c r="H36" s="152"/>
      <c r="I36" s="152"/>
      <c r="J36" s="152"/>
      <c r="K36" s="152"/>
      <c r="L36" s="152"/>
      <c r="M36" s="152"/>
      <c r="N36" s="152"/>
      <c r="O36" s="152"/>
      <c r="P36" s="152"/>
      <c r="Q36" s="152"/>
      <c r="R36" s="152"/>
      <c r="S36" s="152"/>
      <c r="T36" s="152"/>
      <c r="U36" s="152"/>
      <c r="V36" s="160"/>
      <c r="W36" s="160"/>
      <c r="X36" s="160"/>
      <c r="Y36" s="160"/>
      <c r="Z36" s="160"/>
      <c r="AA36" s="160"/>
      <c r="AB36" s="160"/>
      <c r="AC36" s="160"/>
      <c r="AD36" s="160"/>
      <c r="AE36" s="160"/>
      <c r="AF36" s="160"/>
      <c r="AG36" s="160"/>
      <c r="AH36" s="160"/>
      <c r="AI36" s="160"/>
      <c r="AJ36" s="160"/>
      <c r="AK36" s="160"/>
      <c r="AL36" s="160"/>
      <c r="AM36" s="160"/>
      <c r="AN36" s="160"/>
      <c r="AO36" s="160"/>
      <c r="AP36" s="160"/>
      <c r="AQ36" s="160"/>
      <c r="AR36" s="160"/>
      <c r="AS36" s="160"/>
      <c r="AT36" s="160"/>
      <c r="AU36" s="160"/>
      <c r="AV36" s="160"/>
      <c r="AW36" s="160"/>
      <c r="AX36" s="160"/>
      <c r="AY36" s="160"/>
      <c r="AZ36" s="160"/>
      <c r="BA36" s="160"/>
      <c r="BB36" s="160"/>
      <c r="BC36" s="160"/>
      <c r="BD36" s="106"/>
      <c r="BE36" s="106"/>
    </row>
    <row r="37" spans="1:57" ht="19.5" customHeight="1" collapsed="1" x14ac:dyDescent="0.25">
      <c r="C37" s="152"/>
      <c r="D37" s="152"/>
      <c r="E37" s="152"/>
      <c r="F37" s="152"/>
      <c r="G37" s="152"/>
      <c r="H37" s="152"/>
      <c r="I37" s="152"/>
      <c r="J37" s="152"/>
      <c r="K37" s="152"/>
      <c r="L37" s="152"/>
      <c r="M37" s="152"/>
      <c r="N37" s="152"/>
      <c r="O37" s="152"/>
      <c r="P37" s="152"/>
      <c r="Q37" s="152"/>
      <c r="R37" s="152"/>
      <c r="S37" s="165"/>
      <c r="T37" s="165"/>
      <c r="U37" s="165"/>
      <c r="V37" s="166"/>
      <c r="W37" s="166"/>
      <c r="X37" s="166"/>
      <c r="Y37" s="166"/>
      <c r="Z37" s="166"/>
      <c r="AA37" s="166"/>
      <c r="AB37" s="166"/>
      <c r="AC37" s="166"/>
      <c r="AD37" s="166"/>
      <c r="AE37" s="166"/>
      <c r="AF37" s="166"/>
      <c r="AG37" s="166"/>
      <c r="AH37" s="166"/>
      <c r="AI37" s="166"/>
      <c r="AJ37" s="166"/>
      <c r="AK37" s="166"/>
      <c r="AL37" s="166"/>
      <c r="AM37" s="166"/>
      <c r="AN37" s="166"/>
      <c r="AO37" s="166"/>
      <c r="AP37" s="166"/>
      <c r="AQ37" s="166"/>
      <c r="AR37" s="166"/>
      <c r="AS37" s="166"/>
      <c r="AT37" s="166"/>
      <c r="AU37" s="166"/>
      <c r="AV37" s="166"/>
      <c r="AW37" s="166"/>
      <c r="AX37" s="166"/>
      <c r="AY37" s="166"/>
      <c r="AZ37" s="166"/>
      <c r="BA37" s="166"/>
      <c r="BB37" s="166"/>
      <c r="BC37" s="160"/>
      <c r="BD37" s="106"/>
      <c r="BE37" s="106"/>
    </row>
    <row r="38" spans="1:57" ht="19.5" customHeight="1" x14ac:dyDescent="0.25">
      <c r="A38" s="38" t="s">
        <v>143</v>
      </c>
      <c r="C38" s="152"/>
      <c r="D38" s="152"/>
      <c r="E38" s="152"/>
      <c r="F38" s="152"/>
      <c r="G38" s="152"/>
      <c r="H38" s="152"/>
      <c r="I38" s="152"/>
      <c r="J38" s="152"/>
      <c r="K38" s="152"/>
      <c r="L38" s="152"/>
      <c r="M38" s="152"/>
      <c r="N38" s="152"/>
      <c r="O38" s="152"/>
      <c r="P38" s="258">
        <v>1.23</v>
      </c>
      <c r="Q38" s="258">
        <v>1.35</v>
      </c>
      <c r="R38" s="258">
        <v>1.54</v>
      </c>
      <c r="S38" s="258">
        <v>1.63</v>
      </c>
      <c r="T38" s="258">
        <v>2.21</v>
      </c>
      <c r="U38" s="258">
        <v>2.84</v>
      </c>
      <c r="V38" s="259">
        <v>3.66</v>
      </c>
      <c r="W38" s="259">
        <v>4.29</v>
      </c>
      <c r="X38" s="259">
        <v>5.0199999999999996</v>
      </c>
      <c r="Y38" s="259">
        <v>5.59</v>
      </c>
      <c r="Z38" s="259">
        <v>6.72</v>
      </c>
      <c r="AA38" s="259">
        <v>7.65</v>
      </c>
      <c r="AB38" s="259">
        <v>9.08</v>
      </c>
      <c r="AC38" s="259">
        <v>10.67</v>
      </c>
      <c r="AD38" s="259">
        <v>10.92</v>
      </c>
      <c r="AE38" s="259">
        <v>11.7</v>
      </c>
      <c r="AF38" s="259">
        <v>13.67</v>
      </c>
      <c r="AG38" s="259">
        <v>15.16</v>
      </c>
      <c r="AH38" s="259">
        <v>14.99</v>
      </c>
      <c r="AI38" s="259">
        <v>16.809999999999999</v>
      </c>
      <c r="AJ38" s="259">
        <v>21.07</v>
      </c>
      <c r="AK38" s="259">
        <v>19.489999999999998</v>
      </c>
      <c r="AL38" s="259">
        <v>20.75</v>
      </c>
      <c r="AM38" s="259">
        <v>21.58</v>
      </c>
      <c r="AN38" s="259">
        <v>24.4</v>
      </c>
      <c r="AO38" s="259">
        <v>24.97</v>
      </c>
      <c r="AP38" s="259">
        <v>24.4</v>
      </c>
      <c r="AQ38" s="259">
        <v>24.2</v>
      </c>
      <c r="AR38" s="259">
        <v>24.9</v>
      </c>
      <c r="AS38" s="259">
        <v>26.3</v>
      </c>
      <c r="AT38" s="259">
        <v>26.6</v>
      </c>
      <c r="AU38" s="259">
        <v>25.2</v>
      </c>
      <c r="AV38" s="259">
        <v>26.1</v>
      </c>
      <c r="AW38" s="259">
        <v>26.9</v>
      </c>
      <c r="AX38" s="259">
        <v>27.8</v>
      </c>
      <c r="AY38" s="259">
        <v>29.5</v>
      </c>
      <c r="AZ38" s="259">
        <v>29.7</v>
      </c>
      <c r="BA38" s="259">
        <v>30.1</v>
      </c>
      <c r="BB38" s="259">
        <v>31.3</v>
      </c>
      <c r="BC38" s="160"/>
      <c r="BD38" s="106"/>
      <c r="BE38" s="106"/>
    </row>
    <row r="39" spans="1:57" ht="19.5" customHeight="1" x14ac:dyDescent="0.25">
      <c r="A39" s="38" t="s">
        <v>144</v>
      </c>
      <c r="C39" s="152"/>
      <c r="D39" s="152"/>
      <c r="E39" s="152"/>
      <c r="F39" s="152"/>
      <c r="G39" s="152"/>
      <c r="H39" s="152"/>
      <c r="I39" s="152"/>
      <c r="J39" s="152"/>
      <c r="K39" s="152"/>
      <c r="L39" s="152"/>
      <c r="M39" s="152"/>
      <c r="N39" s="152"/>
      <c r="O39" s="152"/>
      <c r="P39" s="258">
        <v>1.1599999999999999</v>
      </c>
      <c r="Q39" s="258">
        <v>1.26</v>
      </c>
      <c r="R39" s="258">
        <v>1.44</v>
      </c>
      <c r="S39" s="260">
        <v>1.55</v>
      </c>
      <c r="T39" s="260">
        <v>2</v>
      </c>
      <c r="U39" s="260">
        <v>2.6</v>
      </c>
      <c r="V39" s="261">
        <v>3.27</v>
      </c>
      <c r="W39" s="261">
        <v>3.7</v>
      </c>
      <c r="X39" s="261">
        <v>4.29</v>
      </c>
      <c r="Y39" s="261">
        <v>4.78</v>
      </c>
      <c r="Z39" s="261">
        <v>5.87</v>
      </c>
      <c r="AA39" s="261">
        <v>6.73</v>
      </c>
      <c r="AB39" s="261">
        <v>8.1999999999999993</v>
      </c>
      <c r="AC39" s="261">
        <v>10.24</v>
      </c>
      <c r="AD39" s="261">
        <v>10.36</v>
      </c>
      <c r="AE39" s="261">
        <v>11.47</v>
      </c>
      <c r="AF39" s="261">
        <v>13.72</v>
      </c>
      <c r="AG39" s="261">
        <v>15.21</v>
      </c>
      <c r="AH39" s="261">
        <v>14.75</v>
      </c>
      <c r="AI39" s="261">
        <v>16.89</v>
      </c>
      <c r="AJ39" s="261">
        <v>22.53</v>
      </c>
      <c r="AK39" s="261">
        <v>19.07</v>
      </c>
      <c r="AL39" s="261">
        <v>19.29</v>
      </c>
      <c r="AM39" s="261">
        <v>20.89</v>
      </c>
      <c r="AN39" s="261">
        <v>23.72</v>
      </c>
      <c r="AO39" s="261">
        <v>23.21</v>
      </c>
      <c r="AP39" s="261">
        <v>22.6</v>
      </c>
      <c r="AQ39" s="261">
        <v>22.3</v>
      </c>
      <c r="AR39" s="261">
        <v>23.2</v>
      </c>
      <c r="AS39" s="261">
        <v>24.6</v>
      </c>
      <c r="AT39" s="261">
        <v>24.9</v>
      </c>
      <c r="AU39" s="261">
        <v>23.7</v>
      </c>
      <c r="AV39" s="261">
        <v>24.7</v>
      </c>
      <c r="AW39" s="261">
        <v>25.2</v>
      </c>
      <c r="AX39" s="261">
        <v>26.2</v>
      </c>
      <c r="AY39" s="261">
        <v>27.9</v>
      </c>
      <c r="AZ39" s="261">
        <v>27.9</v>
      </c>
      <c r="BA39" s="261">
        <v>28.2</v>
      </c>
      <c r="BB39" s="261">
        <v>29.5</v>
      </c>
      <c r="BC39" s="160"/>
      <c r="BD39" s="106"/>
      <c r="BE39" s="106"/>
    </row>
    <row r="40" spans="1:57" ht="19.5" customHeight="1" x14ac:dyDescent="0.25">
      <c r="A40" s="38" t="s">
        <v>145</v>
      </c>
      <c r="C40" s="152"/>
      <c r="D40" s="152"/>
      <c r="E40" s="152"/>
      <c r="F40" s="152"/>
      <c r="G40" s="152"/>
      <c r="H40" s="152"/>
      <c r="I40" s="152"/>
      <c r="J40" s="152"/>
      <c r="K40" s="152"/>
      <c r="L40" s="152"/>
      <c r="M40" s="152"/>
      <c r="N40" s="152"/>
      <c r="O40" s="152"/>
      <c r="P40" s="258">
        <v>1.5</v>
      </c>
      <c r="Q40" s="258">
        <v>1.72</v>
      </c>
      <c r="R40" s="258">
        <v>1.88</v>
      </c>
      <c r="S40" s="260">
        <v>1.93</v>
      </c>
      <c r="T40" s="260">
        <v>2.95</v>
      </c>
      <c r="U40" s="260">
        <v>3.67</v>
      </c>
      <c r="V40" s="260">
        <v>4.93</v>
      </c>
      <c r="W40" s="260">
        <v>6.2</v>
      </c>
      <c r="X40" s="260">
        <v>7.13</v>
      </c>
      <c r="Y40" s="260">
        <v>7.75</v>
      </c>
      <c r="Z40" s="261">
        <v>8.8800000000000008</v>
      </c>
      <c r="AA40" s="261">
        <v>9.8800000000000008</v>
      </c>
      <c r="AB40" s="261">
        <v>11.17</v>
      </c>
      <c r="AC40" s="261">
        <v>11.66</v>
      </c>
      <c r="AD40" s="261">
        <v>12.16</v>
      </c>
      <c r="AE40" s="261">
        <v>12.17</v>
      </c>
      <c r="AF40" s="261">
        <v>13.59</v>
      </c>
      <c r="AG40" s="261">
        <v>15.06</v>
      </c>
      <c r="AH40" s="261">
        <v>15.42</v>
      </c>
      <c r="AI40" s="261">
        <v>16.68</v>
      </c>
      <c r="AJ40" s="261">
        <v>18.62</v>
      </c>
      <c r="AK40" s="261">
        <v>20.21</v>
      </c>
      <c r="AL40" s="261">
        <v>23.33</v>
      </c>
      <c r="AM40" s="261">
        <v>22.81</v>
      </c>
      <c r="AN40" s="261">
        <v>25.59</v>
      </c>
      <c r="AO40" s="261">
        <v>28.04</v>
      </c>
      <c r="AP40" s="260">
        <v>27.4</v>
      </c>
      <c r="AQ40" s="260">
        <v>27.2</v>
      </c>
      <c r="AR40" s="261">
        <v>27.9</v>
      </c>
      <c r="AS40" s="261">
        <v>29.1</v>
      </c>
      <c r="AT40" s="261">
        <v>29.3</v>
      </c>
      <c r="AU40" s="261">
        <v>27.5</v>
      </c>
      <c r="AV40" s="261">
        <v>28.4</v>
      </c>
      <c r="AW40" s="261">
        <v>29.5</v>
      </c>
      <c r="AX40" s="261">
        <v>30.4</v>
      </c>
      <c r="AY40" s="261">
        <v>32</v>
      </c>
      <c r="AZ40" s="261">
        <v>32.5</v>
      </c>
      <c r="BA40" s="261">
        <v>32.799999999999997</v>
      </c>
      <c r="BB40" s="261">
        <v>33.799999999999997</v>
      </c>
      <c r="BC40" s="160"/>
      <c r="BD40" s="106"/>
      <c r="BE40" s="106"/>
    </row>
    <row r="41" spans="1:57" ht="19.5" customHeight="1" x14ac:dyDescent="0.25">
      <c r="C41" s="152"/>
      <c r="D41" s="152"/>
      <c r="E41" s="152"/>
      <c r="F41" s="152"/>
      <c r="G41" s="152"/>
      <c r="H41" s="152"/>
      <c r="I41" s="152"/>
      <c r="J41" s="152"/>
      <c r="K41" s="152"/>
      <c r="L41" s="152"/>
      <c r="M41" s="152"/>
      <c r="N41" s="152"/>
      <c r="O41" s="152"/>
      <c r="P41" s="152"/>
      <c r="Q41" s="152"/>
      <c r="R41" s="152"/>
      <c r="S41" s="165"/>
      <c r="T41" s="165"/>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66"/>
      <c r="AV41" s="166"/>
      <c r="AW41" s="166"/>
      <c r="AX41" s="166"/>
      <c r="AY41" s="166"/>
      <c r="AZ41" s="166"/>
      <c r="BA41" s="166"/>
      <c r="BB41" s="166"/>
      <c r="BC41" s="160"/>
      <c r="BD41" s="106"/>
      <c r="BE41" s="106"/>
    </row>
    <row r="42" spans="1:57" ht="19.5" customHeight="1" x14ac:dyDescent="0.25">
      <c r="A42" s="38" t="s">
        <v>131</v>
      </c>
      <c r="C42" s="152"/>
      <c r="D42" s="152"/>
      <c r="E42" s="152"/>
      <c r="F42" s="152"/>
      <c r="G42" s="152"/>
      <c r="H42" s="151"/>
      <c r="I42" s="151"/>
      <c r="J42" s="151"/>
      <c r="K42" s="151"/>
      <c r="L42" s="151"/>
      <c r="M42" s="262">
        <v>27</v>
      </c>
      <c r="N42" s="262">
        <v>32</v>
      </c>
      <c r="O42" s="262">
        <v>36</v>
      </c>
      <c r="P42" s="169">
        <f t="shared" ref="P42:U42" si="63">AVERAGE(P5,O5)*P38*3/1000</f>
        <v>48.946005</v>
      </c>
      <c r="Q42" s="169">
        <f t="shared" si="63"/>
        <v>53.417475000000003</v>
      </c>
      <c r="R42" s="169">
        <f t="shared" si="63"/>
        <v>59.607240000000004</v>
      </c>
      <c r="S42" s="169">
        <f t="shared" si="63"/>
        <v>61.134779999999999</v>
      </c>
      <c r="T42" s="169">
        <f t="shared" si="63"/>
        <v>81.413084999999995</v>
      </c>
      <c r="U42" s="170">
        <f t="shared" si="63"/>
        <v>103.49670000000002</v>
      </c>
      <c r="V42" s="171">
        <f>AVERAGE(V5,U5)*V38*3/1000</f>
        <v>131.60628</v>
      </c>
      <c r="W42" s="172">
        <f t="shared" ref="W42:Y42" si="64">AVERAGE(W5,V5)*W38*3/1000</f>
        <v>152.72829000000002</v>
      </c>
      <c r="X42" s="172">
        <f t="shared" si="64"/>
        <v>176.72156999999999</v>
      </c>
      <c r="Y42" s="172">
        <f t="shared" si="64"/>
        <v>192.26804999999999</v>
      </c>
      <c r="Z42" s="172">
        <f t="shared" ref="Z42:AH42" si="65">AVERAGE(Z5,Y5)*Z38*3/1000</f>
        <v>225.38879999999997</v>
      </c>
      <c r="AA42" s="172">
        <f t="shared" si="65"/>
        <v>252.05984999999998</v>
      </c>
      <c r="AB42" s="172">
        <f t="shared" si="65"/>
        <v>296.45292000000001</v>
      </c>
      <c r="AC42" s="172">
        <f t="shared" si="65"/>
        <v>349.66123499999998</v>
      </c>
      <c r="AD42" s="172">
        <f t="shared" si="65"/>
        <v>357.83747999999997</v>
      </c>
      <c r="AE42" s="172">
        <f t="shared" si="65"/>
        <v>382.15124999999995</v>
      </c>
      <c r="AF42" s="172">
        <f t="shared" si="65"/>
        <v>449.08000500000003</v>
      </c>
      <c r="AG42" s="172">
        <f t="shared" si="65"/>
        <v>504.12305999999995</v>
      </c>
      <c r="AH42" s="172">
        <f t="shared" si="65"/>
        <v>503.37169499999999</v>
      </c>
      <c r="AI42" s="172">
        <f t="shared" ref="AI42:AN42" si="66">AVERAGE(AI5,AH5)*AI38*3/1000</f>
        <v>568.69911000000002</v>
      </c>
      <c r="AJ42" s="172">
        <f t="shared" si="66"/>
        <v>728.62166999999999</v>
      </c>
      <c r="AK42" s="172">
        <f t="shared" si="66"/>
        <v>668.01974999999993</v>
      </c>
      <c r="AL42" s="172">
        <f t="shared" si="66"/>
        <v>696.48412499999995</v>
      </c>
      <c r="AM42" s="172">
        <f t="shared" si="66"/>
        <v>737.29148999999995</v>
      </c>
      <c r="AN42" s="172">
        <f t="shared" si="66"/>
        <v>848.64419999999996</v>
      </c>
      <c r="AO42" s="172">
        <f t="shared" ref="AO42:AP42" si="67">AVERAGE(AO5,AN5)*AO38*3/1000</f>
        <v>873.52551000000005</v>
      </c>
      <c r="AP42" s="172">
        <f t="shared" si="67"/>
        <v>859.84379999999987</v>
      </c>
      <c r="AQ42" s="172">
        <f>AVERAGE(AQ5,AP5)*AQ38*3/1000</f>
        <v>852.39660000000015</v>
      </c>
      <c r="AR42" s="172">
        <f t="shared" ref="AR42:BB42" si="68">AVERAGE(AR5,AQ5)*AR38*3/1000</f>
        <v>874.25144999999998</v>
      </c>
      <c r="AS42" s="172">
        <f t="shared" si="68"/>
        <v>932.75580000000002</v>
      </c>
      <c r="AT42" s="172">
        <f t="shared" si="68"/>
        <v>947.86439999999993</v>
      </c>
      <c r="AU42" s="172">
        <f t="shared" si="68"/>
        <v>899.60219999999993</v>
      </c>
      <c r="AV42" s="172">
        <f t="shared" si="68"/>
        <v>931.73085000000015</v>
      </c>
      <c r="AW42" s="172">
        <f t="shared" si="68"/>
        <v>968.96489999999994</v>
      </c>
      <c r="AX42" s="172">
        <f t="shared" si="68"/>
        <v>1032.9507000000001</v>
      </c>
      <c r="AY42" s="172">
        <f t="shared" si="68"/>
        <v>1114.8344999999999</v>
      </c>
      <c r="AZ42" s="172">
        <f t="shared" si="68"/>
        <v>1127.6050499999999</v>
      </c>
      <c r="BA42" s="172">
        <f t="shared" si="68"/>
        <v>1156.5172500000001</v>
      </c>
      <c r="BB42" s="172">
        <f t="shared" si="68"/>
        <v>1211.7325499999999</v>
      </c>
      <c r="BC42" s="160"/>
      <c r="BD42" s="106"/>
      <c r="BE42" s="106"/>
    </row>
    <row r="43" spans="1:57" ht="19.5" customHeight="1" x14ac:dyDescent="0.25">
      <c r="A43" s="37"/>
      <c r="B43" s="37"/>
      <c r="C43" s="150"/>
      <c r="D43" s="150"/>
      <c r="E43" s="150"/>
      <c r="F43" s="150"/>
      <c r="G43" s="150"/>
      <c r="H43" s="150"/>
      <c r="I43" s="150"/>
      <c r="J43" s="150"/>
      <c r="K43" s="150"/>
      <c r="L43" s="150"/>
      <c r="M43" s="150"/>
      <c r="N43" s="150"/>
      <c r="O43" s="150"/>
      <c r="P43" s="150"/>
      <c r="Q43" s="149"/>
      <c r="R43" s="149"/>
      <c r="S43" s="149"/>
      <c r="T43" s="149"/>
      <c r="U43" s="149"/>
      <c r="V43" s="149"/>
      <c r="W43" s="149"/>
      <c r="X43" s="149"/>
      <c r="Y43" s="149"/>
      <c r="Z43" s="149"/>
      <c r="AA43" s="149"/>
      <c r="AB43" s="149">
        <f t="shared" ref="AB43:AH43" si="69">AB42/X42-1</f>
        <v>0.67751406916541113</v>
      </c>
      <c r="AC43" s="149">
        <f t="shared" si="69"/>
        <v>0.81861331094791878</v>
      </c>
      <c r="AD43" s="149">
        <f t="shared" si="69"/>
        <v>0.58764534883720931</v>
      </c>
      <c r="AE43" s="149">
        <f t="shared" si="69"/>
        <v>0.51611313741557807</v>
      </c>
      <c r="AF43" s="149">
        <f t="shared" si="69"/>
        <v>0.51484426262355587</v>
      </c>
      <c r="AG43" s="149">
        <f t="shared" si="69"/>
        <v>0.44174706698613586</v>
      </c>
      <c r="AH43" s="149">
        <f t="shared" si="69"/>
        <v>0.40670478397064502</v>
      </c>
      <c r="AI43" s="149">
        <f t="shared" ref="AI43:BB43" si="70">AI42/AE42-1</f>
        <v>0.48815190320586432</v>
      </c>
      <c r="AJ43" s="149">
        <f t="shared" si="70"/>
        <v>0.62247631132007308</v>
      </c>
      <c r="AK43" s="149">
        <f t="shared" si="70"/>
        <v>0.32511246361156343</v>
      </c>
      <c r="AL43" s="149">
        <f t="shared" si="70"/>
        <v>0.38363784042326809</v>
      </c>
      <c r="AM43" s="149">
        <f t="shared" si="70"/>
        <v>0.29645268831175042</v>
      </c>
      <c r="AN43" s="149">
        <f t="shared" si="70"/>
        <v>0.16472544660934929</v>
      </c>
      <c r="AO43" s="149">
        <f t="shared" si="70"/>
        <v>0.30763425781947329</v>
      </c>
      <c r="AP43" s="149">
        <f t="shared" si="70"/>
        <v>0.23454902866594396</v>
      </c>
      <c r="AQ43" s="149">
        <f t="shared" si="70"/>
        <v>0.15611886419576093</v>
      </c>
      <c r="AR43" s="149">
        <f t="shared" si="70"/>
        <v>3.0174306264038497E-2</v>
      </c>
      <c r="AS43" s="149">
        <f t="shared" si="70"/>
        <v>6.7806022058817694E-2</v>
      </c>
      <c r="AT43" s="149">
        <f t="shared" si="70"/>
        <v>0.10236812779251303</v>
      </c>
      <c r="AU43" s="149">
        <f t="shared" si="70"/>
        <v>5.5379854870373446E-2</v>
      </c>
      <c r="AV43" s="149">
        <f t="shared" si="70"/>
        <v>6.5746988466533374E-2</v>
      </c>
      <c r="AW43" s="149">
        <f t="shared" si="70"/>
        <v>3.8819485228609674E-2</v>
      </c>
      <c r="AX43" s="149">
        <f t="shared" si="70"/>
        <v>8.9766321005409822E-2</v>
      </c>
      <c r="AY43" s="149">
        <f t="shared" si="70"/>
        <v>0.23925274971537425</v>
      </c>
      <c r="AZ43" s="149">
        <f t="shared" si="70"/>
        <v>0.21022616134262351</v>
      </c>
      <c r="BA43" s="149">
        <f t="shared" si="70"/>
        <v>0.19355948806814371</v>
      </c>
      <c r="BB43" s="149">
        <f t="shared" si="70"/>
        <v>0.17307878294675616</v>
      </c>
      <c r="BC43" s="149"/>
      <c r="BD43" s="106"/>
      <c r="BE43" s="106"/>
    </row>
    <row r="44" spans="1:57" x14ac:dyDescent="0.25">
      <c r="AD44" s="38"/>
    </row>
    <row r="45" spans="1:57" s="111" customFormat="1" x14ac:dyDescent="0.25">
      <c r="A45" s="111" t="s">
        <v>24</v>
      </c>
      <c r="C45" s="173" t="str">
        <f t="shared" ref="C45:V45" si="71">C$1</f>
        <v>1Q12</v>
      </c>
      <c r="D45" s="173" t="str">
        <f t="shared" si="71"/>
        <v>2Q12</v>
      </c>
      <c r="E45" s="173" t="str">
        <f t="shared" si="71"/>
        <v>3Q12</v>
      </c>
      <c r="F45" s="173" t="str">
        <f t="shared" si="71"/>
        <v>4Q12</v>
      </c>
      <c r="G45" s="173" t="str">
        <f t="shared" si="71"/>
        <v>1Q13</v>
      </c>
      <c r="H45" s="173" t="str">
        <f t="shared" si="71"/>
        <v>2Q13</v>
      </c>
      <c r="I45" s="173" t="str">
        <f t="shared" si="71"/>
        <v>3Q13</v>
      </c>
      <c r="J45" s="173" t="str">
        <f t="shared" si="71"/>
        <v>4Q13</v>
      </c>
      <c r="K45" s="173" t="str">
        <f t="shared" si="71"/>
        <v>1Q14</v>
      </c>
      <c r="L45" s="173" t="str">
        <f t="shared" si="71"/>
        <v>2Q14</v>
      </c>
      <c r="M45" s="173" t="str">
        <f t="shared" si="71"/>
        <v>3Q14</v>
      </c>
      <c r="N45" s="173" t="str">
        <f t="shared" si="71"/>
        <v>4Q14</v>
      </c>
      <c r="O45" s="173" t="str">
        <f t="shared" si="71"/>
        <v>1Q15</v>
      </c>
      <c r="P45" s="173" t="str">
        <f t="shared" si="71"/>
        <v>2Q15</v>
      </c>
      <c r="Q45" s="173" t="str">
        <f t="shared" si="71"/>
        <v>3Q15</v>
      </c>
      <c r="R45" s="173" t="str">
        <f t="shared" si="71"/>
        <v>4Q15</v>
      </c>
      <c r="S45" s="173" t="str">
        <f t="shared" si="71"/>
        <v>1Q16</v>
      </c>
      <c r="T45" s="173" t="str">
        <f t="shared" si="71"/>
        <v>2Q16</v>
      </c>
      <c r="U45" s="173" t="str">
        <f t="shared" si="71"/>
        <v>3Q16</v>
      </c>
      <c r="V45" s="173" t="str">
        <f t="shared" si="71"/>
        <v>4Q16</v>
      </c>
      <c r="W45" s="173" t="str">
        <f>W$1</f>
        <v>1Q17</v>
      </c>
      <c r="X45" s="173" t="s">
        <v>9</v>
      </c>
      <c r="Y45" s="173" t="str">
        <f t="shared" ref="Y45:AD45" si="72">Y1</f>
        <v>3Q17</v>
      </c>
      <c r="Z45" s="173" t="str">
        <f t="shared" si="72"/>
        <v>4Q17</v>
      </c>
      <c r="AA45" s="173" t="str">
        <f t="shared" si="72"/>
        <v>1Q18</v>
      </c>
      <c r="AB45" s="173" t="str">
        <f t="shared" si="72"/>
        <v>2Q18</v>
      </c>
      <c r="AC45" s="173" t="str">
        <f t="shared" si="72"/>
        <v>3Q18</v>
      </c>
      <c r="AD45" s="173" t="str">
        <f t="shared" si="72"/>
        <v>4Q18</v>
      </c>
      <c r="AE45" s="173" t="str">
        <f t="shared" ref="AE45:AF45" si="73">AE1</f>
        <v>1Q19</v>
      </c>
      <c r="AF45" s="173" t="str">
        <f t="shared" si="73"/>
        <v>2Q19</v>
      </c>
      <c r="AG45" s="173" t="str">
        <f t="shared" ref="AG45:AH45" si="74">AG1</f>
        <v>3Q19</v>
      </c>
      <c r="AH45" s="173" t="str">
        <f t="shared" si="74"/>
        <v>4Q19</v>
      </c>
      <c r="AI45" s="173" t="str">
        <f t="shared" ref="AI45:AJ45" si="75">AI1</f>
        <v>1Q20</v>
      </c>
      <c r="AJ45" s="173" t="str">
        <f t="shared" si="75"/>
        <v>2Q20</v>
      </c>
      <c r="AK45" s="173" t="str">
        <f t="shared" ref="AK45:AL45" si="76">AK1</f>
        <v>3Q20</v>
      </c>
      <c r="AL45" s="173" t="str">
        <f t="shared" si="76"/>
        <v>4Q20</v>
      </c>
      <c r="AM45" s="173" t="str">
        <f t="shared" ref="AM45:AN45" si="77">AM1</f>
        <v>1Q21</v>
      </c>
      <c r="AN45" s="173" t="str">
        <f t="shared" si="77"/>
        <v>2Q21</v>
      </c>
      <c r="AO45" s="173" t="str">
        <f t="shared" ref="AO45:AP45" si="78">AO1</f>
        <v>3Q21</v>
      </c>
      <c r="AP45" s="173" t="str">
        <f t="shared" si="78"/>
        <v>4Q21</v>
      </c>
      <c r="AQ45" s="173" t="str">
        <f t="shared" ref="AQ45:AS45" si="79">AQ1</f>
        <v>1Q22</v>
      </c>
      <c r="AR45" s="173" t="str">
        <f t="shared" si="79"/>
        <v>2Q22</v>
      </c>
      <c r="AS45" s="173" t="str">
        <f t="shared" si="79"/>
        <v>3Q22</v>
      </c>
      <c r="AT45" s="173" t="str">
        <f t="shared" ref="AT45:AV45" si="80">AT1</f>
        <v>4Q22</v>
      </c>
      <c r="AU45" s="173" t="str">
        <f t="shared" si="80"/>
        <v>1Q23</v>
      </c>
      <c r="AV45" s="173" t="str">
        <f t="shared" si="80"/>
        <v>2Q23</v>
      </c>
      <c r="AW45" s="173" t="str">
        <f t="shared" ref="AW45:AX45" si="81">AW1</f>
        <v>3Q23</v>
      </c>
      <c r="AX45" s="173" t="str">
        <f t="shared" si="81"/>
        <v>4Q23</v>
      </c>
      <c r="AY45" s="173" t="str">
        <f t="shared" ref="AY45:AZ45" si="82">AY1</f>
        <v>1Q24</v>
      </c>
      <c r="AZ45" s="173" t="str">
        <f t="shared" si="82"/>
        <v>2Q24</v>
      </c>
      <c r="BA45" s="173" t="str">
        <f t="shared" ref="BA45:BB45" si="83">BA1</f>
        <v>3Q24</v>
      </c>
      <c r="BB45" s="173" t="str">
        <f t="shared" si="83"/>
        <v>4Q24</v>
      </c>
      <c r="BC45" s="173"/>
      <c r="BD45" s="111" t="s">
        <v>18</v>
      </c>
    </row>
    <row r="46" spans="1:57" s="111" customFormat="1" x14ac:dyDescent="0.25">
      <c r="A46" s="111" t="s">
        <v>44</v>
      </c>
      <c r="C46" s="173"/>
      <c r="D46" s="173"/>
      <c r="E46" s="173"/>
      <c r="F46" s="173"/>
      <c r="G46" s="173"/>
      <c r="H46" s="173"/>
      <c r="I46" s="173"/>
      <c r="J46" s="173"/>
      <c r="K46" s="173"/>
      <c r="L46" s="173"/>
      <c r="M46" s="173"/>
      <c r="N46" s="173"/>
      <c r="O46" s="173"/>
      <c r="P46" s="173"/>
      <c r="Q46" s="173"/>
      <c r="R46" s="173"/>
      <c r="S46" s="173"/>
      <c r="T46" s="173"/>
      <c r="U46" s="173"/>
      <c r="V46" s="173"/>
      <c r="W46" s="173"/>
      <c r="X46" s="173"/>
      <c r="Y46" s="173"/>
      <c r="Z46" s="173"/>
      <c r="AA46" s="173"/>
      <c r="AB46" s="173"/>
      <c r="AC46" s="173"/>
      <c r="AD46" s="173"/>
      <c r="AE46" s="174"/>
      <c r="AF46" s="174"/>
      <c r="AG46" s="174"/>
      <c r="AH46" s="174"/>
      <c r="AI46" s="174"/>
      <c r="AJ46" s="174"/>
      <c r="AK46" s="174"/>
      <c r="AL46" s="174"/>
      <c r="AM46" s="174"/>
      <c r="AN46" s="174"/>
      <c r="AO46" s="174"/>
      <c r="AP46" s="174"/>
      <c r="AQ46" s="174"/>
      <c r="AR46" s="174"/>
      <c r="AS46" s="174"/>
      <c r="AT46" s="174"/>
      <c r="AU46" s="174"/>
      <c r="AV46" s="174"/>
      <c r="AW46" s="174"/>
      <c r="AX46" s="174"/>
      <c r="AY46" s="174"/>
      <c r="AZ46" s="174"/>
      <c r="BA46" s="174"/>
      <c r="BB46" s="174"/>
      <c r="BC46" s="173"/>
    </row>
    <row r="47" spans="1:57" ht="13.8" thickBot="1" x14ac:dyDescent="0.3">
      <c r="A47" s="38" t="s">
        <v>11</v>
      </c>
      <c r="C47" s="152">
        <f>AVERAGE(C5)</f>
        <v>13830</v>
      </c>
      <c r="D47" s="152">
        <f t="shared" ref="D47:O47" si="84">AVERAGE(D5,C5)</f>
        <v>13828.5</v>
      </c>
      <c r="E47" s="152">
        <f t="shared" si="84"/>
        <v>13878.5</v>
      </c>
      <c r="F47" s="152">
        <f t="shared" si="84"/>
        <v>14010.5</v>
      </c>
      <c r="G47" s="152">
        <f t="shared" si="84"/>
        <v>14113.5</v>
      </c>
      <c r="H47" s="152">
        <f t="shared" si="84"/>
        <v>14004.5</v>
      </c>
      <c r="I47" s="152">
        <f t="shared" si="84"/>
        <v>13543</v>
      </c>
      <c r="J47" s="152">
        <f t="shared" si="84"/>
        <v>13053</v>
      </c>
      <c r="K47" s="152">
        <f t="shared" si="84"/>
        <v>12747.5</v>
      </c>
      <c r="L47" s="152">
        <f t="shared" si="84"/>
        <v>12501.5</v>
      </c>
      <c r="M47" s="152">
        <f t="shared" si="84"/>
        <v>12408</v>
      </c>
      <c r="N47" s="152">
        <f t="shared" si="84"/>
        <v>12664</v>
      </c>
      <c r="O47" s="152">
        <f t="shared" si="84"/>
        <v>13086.5</v>
      </c>
      <c r="P47" s="152">
        <f t="shared" ref="P47:Z47" si="85">AVERAGE(P5,O5)</f>
        <v>13264.5</v>
      </c>
      <c r="Q47" s="152">
        <f t="shared" si="85"/>
        <v>13189.5</v>
      </c>
      <c r="R47" s="152">
        <f t="shared" si="85"/>
        <v>12902</v>
      </c>
      <c r="S47" s="152">
        <f t="shared" si="85"/>
        <v>12502</v>
      </c>
      <c r="T47" s="152">
        <f t="shared" si="85"/>
        <v>12279.5</v>
      </c>
      <c r="U47" s="152">
        <f t="shared" si="85"/>
        <v>12147.5</v>
      </c>
      <c r="V47" s="152">
        <f t="shared" si="85"/>
        <v>11986</v>
      </c>
      <c r="W47" s="152">
        <f t="shared" si="85"/>
        <v>11867</v>
      </c>
      <c r="X47" s="152">
        <f t="shared" si="85"/>
        <v>11734.5</v>
      </c>
      <c r="Y47" s="152">
        <f t="shared" si="85"/>
        <v>11465</v>
      </c>
      <c r="Z47" s="160">
        <f t="shared" si="85"/>
        <v>11180</v>
      </c>
      <c r="AA47" s="160">
        <f t="shared" ref="AA47:AH47" si="86">AVERAGE(AA5,Z5)</f>
        <v>10983</v>
      </c>
      <c r="AB47" s="160">
        <f t="shared" si="86"/>
        <v>10883</v>
      </c>
      <c r="AC47" s="160">
        <f t="shared" si="86"/>
        <v>10923.5</v>
      </c>
      <c r="AD47" s="160">
        <f t="shared" si="86"/>
        <v>10923</v>
      </c>
      <c r="AE47" s="160">
        <f t="shared" si="86"/>
        <v>10887.5</v>
      </c>
      <c r="AF47" s="160">
        <f t="shared" si="86"/>
        <v>10950.5</v>
      </c>
      <c r="AG47" s="160">
        <f t="shared" si="86"/>
        <v>11084.5</v>
      </c>
      <c r="AH47" s="160">
        <f t="shared" si="86"/>
        <v>11193.5</v>
      </c>
      <c r="AI47" s="160">
        <f t="shared" ref="AI47:AN47" si="87">AVERAGE(AI5,AH5)</f>
        <v>11277</v>
      </c>
      <c r="AJ47" s="160">
        <f t="shared" si="87"/>
        <v>11527</v>
      </c>
      <c r="AK47" s="160">
        <f t="shared" si="87"/>
        <v>11425</v>
      </c>
      <c r="AL47" s="160">
        <f t="shared" si="87"/>
        <v>11188.5</v>
      </c>
      <c r="AM47" s="160">
        <f t="shared" si="87"/>
        <v>11388.5</v>
      </c>
      <c r="AN47" s="160">
        <f t="shared" si="87"/>
        <v>11593.5</v>
      </c>
      <c r="AO47" s="160">
        <f t="shared" ref="AO47:BB47" si="88">AVERAGE(AO5,AN5)</f>
        <v>11661</v>
      </c>
      <c r="AP47" s="152">
        <f t="shared" si="88"/>
        <v>11746.5</v>
      </c>
      <c r="AQ47" s="160">
        <f t="shared" si="88"/>
        <v>11741</v>
      </c>
      <c r="AR47" s="160">
        <f t="shared" si="88"/>
        <v>11703.5</v>
      </c>
      <c r="AS47" s="160">
        <f t="shared" si="88"/>
        <v>11822</v>
      </c>
      <c r="AT47" s="160">
        <f t="shared" si="88"/>
        <v>11878</v>
      </c>
      <c r="AU47" s="160">
        <f t="shared" si="88"/>
        <v>11899.5</v>
      </c>
      <c r="AV47" s="160">
        <f t="shared" si="88"/>
        <v>11899.5</v>
      </c>
      <c r="AW47" s="160">
        <f t="shared" si="88"/>
        <v>12007</v>
      </c>
      <c r="AX47" s="160">
        <f t="shared" si="88"/>
        <v>12385.5</v>
      </c>
      <c r="AY47" s="160">
        <f t="shared" si="88"/>
        <v>12597</v>
      </c>
      <c r="AZ47" s="160">
        <f t="shared" si="88"/>
        <v>12655.5</v>
      </c>
      <c r="BA47" s="160">
        <f t="shared" si="88"/>
        <v>12807.5</v>
      </c>
      <c r="BB47" s="160">
        <f t="shared" si="88"/>
        <v>12904.5</v>
      </c>
      <c r="BC47" s="175"/>
    </row>
    <row r="48" spans="1:57" ht="13.8" thickBot="1" x14ac:dyDescent="0.3">
      <c r="A48" s="37" t="s">
        <v>54</v>
      </c>
      <c r="B48" s="37"/>
      <c r="C48" s="177"/>
      <c r="D48" s="144">
        <f t="shared" ref="D48:O48" si="89">D5-C5</f>
        <v>-3</v>
      </c>
      <c r="E48" s="144">
        <f t="shared" si="89"/>
        <v>103</v>
      </c>
      <c r="F48" s="144">
        <f t="shared" si="89"/>
        <v>161</v>
      </c>
      <c r="G48" s="144">
        <f t="shared" si="89"/>
        <v>45</v>
      </c>
      <c r="H48" s="144">
        <f t="shared" si="89"/>
        <v>-263</v>
      </c>
      <c r="I48" s="144">
        <f t="shared" si="89"/>
        <v>-660</v>
      </c>
      <c r="J48" s="144">
        <f t="shared" si="89"/>
        <v>-320</v>
      </c>
      <c r="K48" s="144">
        <f t="shared" si="89"/>
        <v>-291</v>
      </c>
      <c r="L48" s="144">
        <f t="shared" si="89"/>
        <v>-201</v>
      </c>
      <c r="M48" s="144">
        <f t="shared" si="89"/>
        <v>14</v>
      </c>
      <c r="N48" s="144">
        <f t="shared" si="89"/>
        <v>498</v>
      </c>
      <c r="O48" s="144">
        <f t="shared" si="89"/>
        <v>347</v>
      </c>
      <c r="P48" s="145">
        <f t="shared" ref="P48:Z48" si="90">P5-O5</f>
        <v>9</v>
      </c>
      <c r="Q48" s="145">
        <f t="shared" si="90"/>
        <v>-159</v>
      </c>
      <c r="R48" s="145">
        <f t="shared" si="90"/>
        <v>-416</v>
      </c>
      <c r="S48" s="145">
        <f t="shared" si="90"/>
        <v>-384</v>
      </c>
      <c r="T48" s="145">
        <f t="shared" si="90"/>
        <v>-61</v>
      </c>
      <c r="U48" s="145">
        <f t="shared" si="90"/>
        <v>-203</v>
      </c>
      <c r="V48" s="263">
        <f t="shared" si="90"/>
        <v>-120</v>
      </c>
      <c r="W48" s="178">
        <f t="shared" si="90"/>
        <v>-118</v>
      </c>
      <c r="X48" s="178">
        <f t="shared" si="90"/>
        <v>-147</v>
      </c>
      <c r="Y48" s="178">
        <f t="shared" si="90"/>
        <v>-392</v>
      </c>
      <c r="Z48" s="178">
        <f t="shared" si="90"/>
        <v>-178</v>
      </c>
      <c r="AA48" s="178">
        <f t="shared" ref="AA48:AH48" si="91">AA5-Z5</f>
        <v>-216</v>
      </c>
      <c r="AB48" s="178">
        <f t="shared" si="91"/>
        <v>16</v>
      </c>
      <c r="AC48" s="178">
        <f t="shared" si="91"/>
        <v>65</v>
      </c>
      <c r="AD48" s="178">
        <f t="shared" si="91"/>
        <v>-66</v>
      </c>
      <c r="AE48" s="178">
        <f t="shared" si="91"/>
        <v>-5</v>
      </c>
      <c r="AF48" s="178">
        <f t="shared" si="91"/>
        <v>131</v>
      </c>
      <c r="AG48" s="178">
        <f t="shared" si="91"/>
        <v>137</v>
      </c>
      <c r="AH48" s="178">
        <f t="shared" si="91"/>
        <v>81</v>
      </c>
      <c r="AI48" s="178">
        <f t="shared" ref="AI48:AN48" si="92">AI5-AH5</f>
        <v>86</v>
      </c>
      <c r="AJ48" s="178">
        <f t="shared" si="92"/>
        <v>414</v>
      </c>
      <c r="AK48" s="178">
        <f t="shared" si="92"/>
        <v>-618</v>
      </c>
      <c r="AL48" s="178">
        <f t="shared" si="92"/>
        <v>145</v>
      </c>
      <c r="AM48" s="178">
        <f t="shared" si="92"/>
        <v>255</v>
      </c>
      <c r="AN48" s="178">
        <f t="shared" si="92"/>
        <v>155</v>
      </c>
      <c r="AO48" s="178">
        <f t="shared" ref="AO48:AT48" si="93">AO5-AN5</f>
        <v>-20</v>
      </c>
      <c r="AP48" s="178">
        <f t="shared" si="93"/>
        <v>191</v>
      </c>
      <c r="AQ48" s="178">
        <f t="shared" si="93"/>
        <v>-202</v>
      </c>
      <c r="AR48" s="178">
        <f>AR5-AQ5</f>
        <v>127</v>
      </c>
      <c r="AS48" s="178">
        <f t="shared" si="93"/>
        <v>110</v>
      </c>
      <c r="AT48" s="178">
        <f t="shared" si="93"/>
        <v>2</v>
      </c>
      <c r="AU48" s="178">
        <f t="shared" ref="AU48:AZ48" si="94">AU5-AT5</f>
        <v>41</v>
      </c>
      <c r="AV48" s="178">
        <f t="shared" si="94"/>
        <v>-41</v>
      </c>
      <c r="AW48" s="178">
        <f t="shared" si="94"/>
        <v>256</v>
      </c>
      <c r="AX48" s="178">
        <f t="shared" si="94"/>
        <v>501</v>
      </c>
      <c r="AY48" s="178">
        <f t="shared" si="94"/>
        <v>-78</v>
      </c>
      <c r="AZ48" s="178">
        <f t="shared" si="94"/>
        <v>195</v>
      </c>
      <c r="BA48" s="178">
        <f t="shared" ref="BA48:BB48" si="95">BA5-AZ5</f>
        <v>109</v>
      </c>
      <c r="BB48" s="178">
        <f t="shared" si="95"/>
        <v>85</v>
      </c>
      <c r="BC48" s="177"/>
      <c r="BD48" s="37"/>
    </row>
    <row r="49" spans="1:55" x14ac:dyDescent="0.25">
      <c r="A49" s="38" t="s">
        <v>12</v>
      </c>
      <c r="C49" s="179"/>
      <c r="D49" s="179"/>
      <c r="E49" s="179"/>
      <c r="F49" s="179"/>
      <c r="G49" s="179"/>
      <c r="H49" s="150">
        <f t="shared" ref="H49:O49" si="96">H5/D5-1</f>
        <v>3.3268243292110533E-3</v>
      </c>
      <c r="I49" s="150">
        <f t="shared" si="96"/>
        <v>-5.1471643933955535E-2</v>
      </c>
      <c r="J49" s="150">
        <f t="shared" si="96"/>
        <v>-8.5018806330281693E-2</v>
      </c>
      <c r="K49" s="150">
        <f t="shared" si="96"/>
        <v>-0.10851726089417091</v>
      </c>
      <c r="L49" s="150">
        <f t="shared" si="96"/>
        <v>-0.10610538455993657</v>
      </c>
      <c r="M49" s="149">
        <f t="shared" si="96"/>
        <v>-6.0395065465829068E-2</v>
      </c>
      <c r="N49" s="149">
        <f t="shared" si="96"/>
        <v>1.55122934925922E-3</v>
      </c>
      <c r="O49" s="149">
        <f t="shared" si="96"/>
        <v>5.2213934296143405E-2</v>
      </c>
      <c r="P49" s="149">
        <f t="shared" ref="P49:Z49" si="97">P5/L5-1</f>
        <v>6.9994355293927946E-2</v>
      </c>
      <c r="Q49" s="149">
        <f t="shared" si="97"/>
        <v>5.5980668546113499E-2</v>
      </c>
      <c r="R49" s="149">
        <f t="shared" si="97"/>
        <v>-1.6959653062804891E-2</v>
      </c>
      <c r="S49" s="149">
        <f t="shared" si="97"/>
        <v>-7.1644042232277494E-2</v>
      </c>
      <c r="T49" s="149">
        <f t="shared" si="97"/>
        <v>-7.6870902102645244E-2</v>
      </c>
      <c r="U49" s="149">
        <f t="shared" si="97"/>
        <v>-8.1159420289855122E-2</v>
      </c>
      <c r="V49" s="149">
        <f t="shared" si="97"/>
        <v>-6.0501024105876766E-2</v>
      </c>
      <c r="W49" s="149">
        <f t="shared" si="97"/>
        <v>-4.0779853777416775E-2</v>
      </c>
      <c r="X49" s="149">
        <f t="shared" si="97"/>
        <v>-4.8003918687239744E-2</v>
      </c>
      <c r="Y49" s="149">
        <f t="shared" si="97"/>
        <v>-6.4502739498588757E-2</v>
      </c>
      <c r="Z49" s="149">
        <f t="shared" si="97"/>
        <v>-7.0015093073956036E-2</v>
      </c>
      <c r="AA49" s="149">
        <f t="shared" ref="AA49:AH49" si="98">AA5/W5-1</f>
        <v>-7.9014227642276391E-2</v>
      </c>
      <c r="AB49" s="149">
        <f t="shared" si="98"/>
        <v>-6.603207272103595E-2</v>
      </c>
      <c r="AC49" s="149">
        <f t="shared" si="98"/>
        <v>-2.777531280504042E-2</v>
      </c>
      <c r="AD49" s="149">
        <f t="shared" si="98"/>
        <v>-1.8122802272112493E-2</v>
      </c>
      <c r="AE49" s="149">
        <f t="shared" si="98"/>
        <v>9.1954022988516293E-4</v>
      </c>
      <c r="AF49" s="149">
        <f t="shared" si="98"/>
        <v>1.1477366632999697E-2</v>
      </c>
      <c r="AG49" s="149">
        <f t="shared" si="98"/>
        <v>1.7981014968966758E-2</v>
      </c>
      <c r="AH49" s="149">
        <f t="shared" si="98"/>
        <v>3.1588613406795307E-2</v>
      </c>
      <c r="AI49" s="149">
        <f t="shared" ref="AI49:BB49" si="99">AI5/AE5-1</f>
        <v>3.9963252181901776E-2</v>
      </c>
      <c r="AJ49" s="149">
        <f t="shared" si="99"/>
        <v>6.5177923021060291E-2</v>
      </c>
      <c r="AK49" s="149">
        <f t="shared" si="99"/>
        <v>-3.3174930511969958E-3</v>
      </c>
      <c r="AL49" s="149">
        <f t="shared" si="99"/>
        <v>2.4034181947658606E-3</v>
      </c>
      <c r="AM49" s="149">
        <f t="shared" si="99"/>
        <v>1.7314487632508868E-2</v>
      </c>
      <c r="AN49" s="149">
        <f t="shared" si="99"/>
        <v>-5.3690131242543071E-3</v>
      </c>
      <c r="AO49" s="149">
        <f t="shared" si="99"/>
        <v>4.8128823317740155E-2</v>
      </c>
      <c r="AP49" s="149">
        <f t="shared" si="99"/>
        <v>5.1593996980729973E-2</v>
      </c>
      <c r="AQ49" s="149">
        <f t="shared" si="99"/>
        <v>1.0767627648489153E-2</v>
      </c>
      <c r="AR49" s="149">
        <f t="shared" si="99"/>
        <v>8.2255162368263246E-3</v>
      </c>
      <c r="AS49" s="149">
        <f t="shared" si="99"/>
        <v>1.9397476611449749E-2</v>
      </c>
      <c r="AT49" s="149">
        <f t="shared" si="99"/>
        <v>3.1244722175307604E-3</v>
      </c>
      <c r="AU49" s="149">
        <f t="shared" si="99"/>
        <v>2.405498281786933E-2</v>
      </c>
      <c r="AV49" s="149">
        <f t="shared" si="99"/>
        <v>9.5181439619274055E-3</v>
      </c>
      <c r="AW49" s="149">
        <f t="shared" si="99"/>
        <v>2.1722657236675991E-2</v>
      </c>
      <c r="AX49" s="149">
        <f t="shared" si="99"/>
        <v>6.3725902853775551E-2</v>
      </c>
      <c r="AY49" s="149">
        <f t="shared" si="99"/>
        <v>5.3523489932885804E-2</v>
      </c>
      <c r="AZ49" s="149">
        <f t="shared" si="99"/>
        <v>7.3575216769088403E-2</v>
      </c>
      <c r="BA49" s="149">
        <f t="shared" si="99"/>
        <v>5.9909353110836339E-2</v>
      </c>
      <c r="BB49" s="149">
        <f t="shared" si="99"/>
        <v>2.4612219056663553E-2</v>
      </c>
      <c r="BC49" s="179"/>
    </row>
    <row r="50" spans="1:55" ht="13.8" thickBot="1" x14ac:dyDescent="0.3">
      <c r="C50" s="179"/>
      <c r="D50" s="179"/>
      <c r="E50" s="179"/>
      <c r="F50" s="179"/>
      <c r="G50" s="179"/>
      <c r="H50" s="179"/>
      <c r="I50" s="179"/>
      <c r="J50" s="179"/>
      <c r="K50" s="179"/>
      <c r="L50" s="179"/>
      <c r="M50" s="180"/>
      <c r="N50" s="180"/>
      <c r="O50" s="180"/>
      <c r="P50" s="180"/>
      <c r="Q50" s="180"/>
      <c r="R50" s="180"/>
      <c r="S50" s="180"/>
      <c r="T50" s="180"/>
      <c r="U50" s="180"/>
      <c r="V50" s="180"/>
      <c r="W50" s="180"/>
      <c r="X50" s="180"/>
      <c r="Y50" s="180"/>
      <c r="Z50" s="180"/>
      <c r="AA50" s="180"/>
      <c r="AB50" s="180"/>
      <c r="AC50" s="180"/>
      <c r="AD50" s="180"/>
      <c r="AE50" s="149"/>
      <c r="AF50" s="149"/>
      <c r="AG50" s="149"/>
      <c r="AH50" s="149"/>
      <c r="AI50" s="149"/>
      <c r="AJ50" s="149"/>
      <c r="AK50" s="149"/>
      <c r="AL50" s="149"/>
      <c r="AM50" s="149"/>
      <c r="AN50" s="149"/>
      <c r="AO50" s="149"/>
      <c r="AP50" s="149"/>
      <c r="AQ50" s="149"/>
      <c r="AR50" s="149"/>
      <c r="AS50" s="149"/>
      <c r="AT50" s="149"/>
      <c r="AU50" s="149"/>
      <c r="AV50" s="149"/>
      <c r="AW50" s="149"/>
      <c r="AX50" s="149"/>
      <c r="AY50" s="149"/>
      <c r="AZ50" s="149"/>
      <c r="BA50" s="149"/>
      <c r="BB50" s="149"/>
      <c r="BC50" s="179"/>
    </row>
    <row r="51" spans="1:55" ht="13.8" thickBot="1" x14ac:dyDescent="0.3">
      <c r="A51" s="37" t="s">
        <v>13</v>
      </c>
      <c r="B51" s="37"/>
      <c r="C51" s="181"/>
      <c r="D51" s="181"/>
      <c r="E51" s="181"/>
      <c r="F51" s="181"/>
      <c r="G51" s="181"/>
      <c r="H51" s="264">
        <f t="shared" ref="H51:Z51" si="100">H25/D25-1</f>
        <v>-0.11538461538461542</v>
      </c>
      <c r="I51" s="264">
        <f t="shared" si="100"/>
        <v>0</v>
      </c>
      <c r="J51" s="264">
        <f t="shared" si="100"/>
        <v>2.0833333333333259E-2</v>
      </c>
      <c r="K51" s="264">
        <f t="shared" si="100"/>
        <v>4.3478260869565188E-2</v>
      </c>
      <c r="L51" s="264">
        <f t="shared" si="100"/>
        <v>8.6956521739130377E-2</v>
      </c>
      <c r="M51" s="265">
        <f t="shared" si="100"/>
        <v>4.1666666666666741E-2</v>
      </c>
      <c r="N51" s="265">
        <f t="shared" si="100"/>
        <v>2.0408163265306145E-2</v>
      </c>
      <c r="O51" s="265">
        <f t="shared" si="100"/>
        <v>0</v>
      </c>
      <c r="P51" s="265">
        <f>P25/L25-1</f>
        <v>-6.0000000000000053E-2</v>
      </c>
      <c r="Q51" s="265">
        <f>Q25/M25-1</f>
        <v>-2.0000000000000018E-2</v>
      </c>
      <c r="R51" s="265">
        <f>R25/N25-1</f>
        <v>0</v>
      </c>
      <c r="S51" s="265">
        <f>S25/O25-1</f>
        <v>4.1666666666666741E-2</v>
      </c>
      <c r="T51" s="265">
        <f t="shared" si="100"/>
        <v>4.2553191489361764E-2</v>
      </c>
      <c r="U51" s="265">
        <f t="shared" si="100"/>
        <v>2.0408163265306145E-2</v>
      </c>
      <c r="V51" s="266">
        <f t="shared" si="100"/>
        <v>4.0000000000000036E-2</v>
      </c>
      <c r="W51" s="182">
        <f t="shared" si="100"/>
        <v>2.0000000000000018E-2</v>
      </c>
      <c r="X51" s="182">
        <f t="shared" si="100"/>
        <v>4.081632653061229E-2</v>
      </c>
      <c r="Y51" s="182">
        <f t="shared" si="100"/>
        <v>2.0000000000000018E-2</v>
      </c>
      <c r="Z51" s="182">
        <f t="shared" si="100"/>
        <v>-1.9230769230769273E-2</v>
      </c>
      <c r="AA51" s="182">
        <f t="shared" ref="AA51:AH51" si="101">AA25/W25-1</f>
        <v>0</v>
      </c>
      <c r="AB51" s="182">
        <f t="shared" si="101"/>
        <v>3.9215686274509887E-2</v>
      </c>
      <c r="AC51" s="182">
        <f t="shared" si="101"/>
        <v>3.9215686274509887E-2</v>
      </c>
      <c r="AD51" s="182">
        <f t="shared" si="101"/>
        <v>3.9215686274509887E-2</v>
      </c>
      <c r="AE51" s="182">
        <f t="shared" si="101"/>
        <v>0</v>
      </c>
      <c r="AF51" s="182">
        <f t="shared" si="101"/>
        <v>-3.7735849056603765E-2</v>
      </c>
      <c r="AG51" s="182">
        <f t="shared" si="101"/>
        <v>-3.7735849056603765E-2</v>
      </c>
      <c r="AH51" s="182">
        <f t="shared" si="101"/>
        <v>-3.7735849056603765E-2</v>
      </c>
      <c r="AI51" s="182">
        <f t="shared" ref="AI51:AR51" si="102">AI25/AE25-1</f>
        <v>-3.9215686274509776E-2</v>
      </c>
      <c r="AJ51" s="182">
        <f t="shared" si="102"/>
        <v>-7.8431372549019662E-2</v>
      </c>
      <c r="AK51" s="182">
        <f t="shared" si="102"/>
        <v>-4.5098039215686225E-2</v>
      </c>
      <c r="AL51" s="182">
        <f t="shared" si="102"/>
        <v>-5.2941176470588269E-2</v>
      </c>
      <c r="AM51" s="182">
        <f t="shared" si="102"/>
        <v>-3.2653061224489854E-2</v>
      </c>
      <c r="AN51" s="182">
        <f t="shared" si="102"/>
        <v>0</v>
      </c>
      <c r="AO51" s="182">
        <f t="shared" si="102"/>
        <v>-4.3121149897330624E-2</v>
      </c>
      <c r="AP51" s="182">
        <f t="shared" si="102"/>
        <v>-4.9689440993788803E-2</v>
      </c>
      <c r="AQ51" s="182">
        <f t="shared" si="102"/>
        <v>-2.5316455696202445E-2</v>
      </c>
      <c r="AR51" s="182">
        <f t="shared" si="102"/>
        <v>1.4893617021276562E-2</v>
      </c>
      <c r="AS51" s="182">
        <f>AS25/AO25-1</f>
        <v>1.5021459227467782E-2</v>
      </c>
      <c r="AT51" s="182">
        <f>AT25/AP25-1</f>
        <v>4.1394335511982572E-2</v>
      </c>
      <c r="AU51" s="182">
        <f>AU25/AQ25-1</f>
        <v>1.5151515151515138E-2</v>
      </c>
      <c r="AV51" s="182">
        <f t="shared" ref="AV51:BB51" si="103">AV25/AR25-1</f>
        <v>-1.4675052410901501E-2</v>
      </c>
      <c r="AW51" s="182">
        <f t="shared" si="103"/>
        <v>-1.2684989429175397E-2</v>
      </c>
      <c r="AX51" s="182">
        <f t="shared" si="103"/>
        <v>-4.1841004184100417E-2</v>
      </c>
      <c r="AY51" s="182">
        <f t="shared" si="103"/>
        <v>-4.6908315565031944E-2</v>
      </c>
      <c r="AZ51" s="182">
        <f t="shared" si="103"/>
        <v>-4.8936170212765862E-2</v>
      </c>
      <c r="BA51" s="182">
        <f t="shared" si="103"/>
        <v>-5.3533190578158418E-2</v>
      </c>
      <c r="BB51" s="182">
        <f t="shared" si="103"/>
        <v>-2.8384279475982432E-2</v>
      </c>
      <c r="BC51" s="181"/>
    </row>
    <row r="52" spans="1:55" x14ac:dyDescent="0.25">
      <c r="A52" s="37"/>
      <c r="B52" s="37"/>
      <c r="C52" s="181"/>
      <c r="D52" s="181"/>
      <c r="E52" s="181"/>
      <c r="F52" s="181"/>
      <c r="G52" s="181"/>
      <c r="H52" s="264"/>
      <c r="I52" s="264"/>
      <c r="J52" s="264"/>
      <c r="K52" s="264"/>
      <c r="L52" s="264"/>
      <c r="M52" s="265"/>
      <c r="N52" s="265"/>
      <c r="O52" s="265"/>
      <c r="P52" s="265"/>
      <c r="Q52" s="265"/>
      <c r="R52" s="265"/>
      <c r="S52" s="265"/>
      <c r="T52" s="265"/>
      <c r="U52" s="265"/>
      <c r="V52" s="265"/>
      <c r="W52" s="265"/>
      <c r="X52" s="265"/>
      <c r="Y52" s="265"/>
      <c r="Z52" s="265"/>
      <c r="AA52" s="265"/>
      <c r="AB52" s="265"/>
      <c r="AC52" s="265"/>
      <c r="AD52" s="265"/>
      <c r="AE52" s="265"/>
      <c r="AF52" s="265"/>
      <c r="AG52" s="265"/>
      <c r="AH52" s="265"/>
      <c r="AI52" s="265"/>
      <c r="AJ52" s="265"/>
      <c r="AK52" s="265"/>
      <c r="AL52" s="265"/>
      <c r="AM52" s="265"/>
      <c r="AN52" s="265"/>
      <c r="AO52" s="265"/>
      <c r="AP52" s="265"/>
      <c r="AQ52" s="265"/>
      <c r="AR52" s="265"/>
      <c r="AS52" s="265"/>
      <c r="AT52" s="265"/>
      <c r="AU52" s="265"/>
      <c r="AV52" s="265"/>
      <c r="AW52" s="265"/>
      <c r="AX52" s="265"/>
      <c r="AY52" s="265"/>
      <c r="AZ52" s="265"/>
      <c r="BA52" s="265"/>
      <c r="BB52" s="265"/>
      <c r="BC52" s="181"/>
    </row>
    <row r="53" spans="1:55" x14ac:dyDescent="0.25">
      <c r="A53" s="38" t="s">
        <v>186</v>
      </c>
      <c r="C53" s="179"/>
      <c r="D53" s="179"/>
      <c r="E53" s="179"/>
      <c r="F53" s="179"/>
      <c r="G53" s="179"/>
      <c r="H53" s="179"/>
      <c r="I53" s="179"/>
      <c r="J53" s="179"/>
      <c r="K53" s="176"/>
      <c r="L53" s="176"/>
      <c r="M53" s="176"/>
      <c r="N53" s="176"/>
      <c r="O53" s="160">
        <f t="shared" ref="O53:AP53" si="104">O7-N7</f>
        <v>200</v>
      </c>
      <c r="P53" s="160">
        <f t="shared" si="104"/>
        <v>100</v>
      </c>
      <c r="Q53" s="160">
        <f t="shared" si="104"/>
        <v>-100</v>
      </c>
      <c r="R53" s="160">
        <f t="shared" si="104"/>
        <v>-200</v>
      </c>
      <c r="S53" s="160">
        <f t="shared" si="104"/>
        <v>-300</v>
      </c>
      <c r="T53" s="160">
        <f t="shared" si="104"/>
        <v>-100</v>
      </c>
      <c r="U53" s="160">
        <f t="shared" si="104"/>
        <v>100</v>
      </c>
      <c r="V53" s="160">
        <f t="shared" si="104"/>
        <v>200</v>
      </c>
      <c r="W53" s="160">
        <f t="shared" si="104"/>
        <v>-100</v>
      </c>
      <c r="X53" s="160">
        <f t="shared" si="104"/>
        <v>-100</v>
      </c>
      <c r="Y53" s="160">
        <f t="shared" si="104"/>
        <v>-200</v>
      </c>
      <c r="Z53" s="160">
        <f t="shared" si="104"/>
        <v>-100</v>
      </c>
      <c r="AA53" s="160">
        <f t="shared" si="104"/>
        <v>-200</v>
      </c>
      <c r="AB53" s="160">
        <f t="shared" si="104"/>
        <v>200</v>
      </c>
      <c r="AC53" s="160">
        <f t="shared" si="104"/>
        <v>100</v>
      </c>
      <c r="AD53" s="160">
        <f t="shared" si="104"/>
        <v>100</v>
      </c>
      <c r="AE53" s="160">
        <f t="shared" si="104"/>
        <v>0</v>
      </c>
      <c r="AF53" s="160">
        <f t="shared" si="104"/>
        <v>0</v>
      </c>
      <c r="AG53" s="160">
        <f t="shared" si="104"/>
        <v>100</v>
      </c>
      <c r="AH53" s="160">
        <f t="shared" si="104"/>
        <v>200</v>
      </c>
      <c r="AI53" s="160">
        <f t="shared" si="104"/>
        <v>-400</v>
      </c>
      <c r="AJ53" s="160">
        <f t="shared" si="104"/>
        <v>100</v>
      </c>
      <c r="AK53" s="160">
        <f t="shared" si="104"/>
        <v>200</v>
      </c>
      <c r="AL53" s="160">
        <f t="shared" si="104"/>
        <v>200</v>
      </c>
      <c r="AM53" s="160">
        <f t="shared" si="104"/>
        <v>100</v>
      </c>
      <c r="AN53" s="160">
        <f t="shared" si="104"/>
        <v>-400</v>
      </c>
      <c r="AO53" s="160">
        <f t="shared" si="104"/>
        <v>300</v>
      </c>
      <c r="AP53" s="160">
        <f t="shared" si="104"/>
        <v>-300</v>
      </c>
      <c r="AQ53" s="160"/>
      <c r="AR53" s="160"/>
      <c r="BC53" s="179"/>
    </row>
    <row r="54" spans="1:55" x14ac:dyDescent="0.25">
      <c r="A54" s="38" t="s">
        <v>187</v>
      </c>
      <c r="C54" s="179"/>
      <c r="D54" s="179"/>
      <c r="E54" s="179"/>
      <c r="F54" s="179"/>
      <c r="G54" s="179"/>
      <c r="H54" s="179"/>
      <c r="I54" s="179"/>
      <c r="J54" s="179"/>
      <c r="K54" s="176"/>
      <c r="L54" s="176"/>
      <c r="M54" s="176"/>
      <c r="N54" s="176"/>
      <c r="O54" s="176"/>
      <c r="P54" s="176"/>
      <c r="Q54" s="176"/>
      <c r="R54" s="176"/>
      <c r="S54" s="160">
        <f t="shared" ref="S54:BB54" si="105">S10-R10</f>
        <v>-257.28000000000065</v>
      </c>
      <c r="T54" s="160">
        <f t="shared" si="105"/>
        <v>81.619999999998981</v>
      </c>
      <c r="U54" s="160">
        <f t="shared" si="105"/>
        <v>413.45999999999913</v>
      </c>
      <c r="V54" s="160">
        <f t="shared" si="105"/>
        <v>149.18000000000029</v>
      </c>
      <c r="W54" s="160">
        <f t="shared" si="105"/>
        <v>223.44000000000051</v>
      </c>
      <c r="X54" s="160">
        <f t="shared" si="105"/>
        <v>21.220000000001164</v>
      </c>
      <c r="Y54" s="160">
        <f t="shared" si="105"/>
        <v>-276.06999999999971</v>
      </c>
      <c r="Z54" s="160">
        <f t="shared" si="105"/>
        <v>55.489999999997963</v>
      </c>
      <c r="AA54" s="160">
        <f t="shared" si="105"/>
        <v>1.4600000000009459</v>
      </c>
      <c r="AB54" s="160">
        <f t="shared" si="105"/>
        <v>122.02999999999884</v>
      </c>
      <c r="AC54" s="160">
        <f t="shared" si="105"/>
        <v>163.51000000000022</v>
      </c>
      <c r="AD54" s="160">
        <f t="shared" si="105"/>
        <v>53.460000000000946</v>
      </c>
      <c r="AE54" s="160">
        <f t="shared" si="105"/>
        <v>-4.25</v>
      </c>
      <c r="AF54" s="160">
        <f t="shared" si="105"/>
        <v>111.35000000000036</v>
      </c>
      <c r="AG54" s="161">
        <f t="shared" si="105"/>
        <v>116.44999999999891</v>
      </c>
      <c r="AH54" s="161">
        <f t="shared" si="105"/>
        <v>68.850000000000364</v>
      </c>
      <c r="AI54" s="161">
        <f t="shared" si="105"/>
        <v>73.100000000000364</v>
      </c>
      <c r="AJ54" s="161">
        <f t="shared" si="105"/>
        <v>351.89999999999964</v>
      </c>
      <c r="AK54" s="161">
        <f t="shared" si="105"/>
        <v>-525.29999999999927</v>
      </c>
      <c r="AL54" s="161">
        <f t="shared" si="105"/>
        <v>123.25</v>
      </c>
      <c r="AM54" s="161">
        <f t="shared" si="105"/>
        <v>216.75</v>
      </c>
      <c r="AN54" s="161">
        <f t="shared" si="105"/>
        <v>131.75</v>
      </c>
      <c r="AO54" s="161">
        <f t="shared" si="105"/>
        <v>-17</v>
      </c>
      <c r="AP54" s="161">
        <f t="shared" si="105"/>
        <v>162.34999999999854</v>
      </c>
      <c r="AQ54" s="161">
        <f t="shared" si="105"/>
        <v>-171.69999999999891</v>
      </c>
      <c r="AR54" s="161">
        <f t="shared" si="105"/>
        <v>-9894</v>
      </c>
      <c r="AS54" s="161">
        <f t="shared" si="105"/>
        <v>0</v>
      </c>
      <c r="AT54" s="161">
        <f t="shared" si="105"/>
        <v>0</v>
      </c>
      <c r="AU54" s="161">
        <f t="shared" si="105"/>
        <v>0</v>
      </c>
      <c r="AV54" s="161">
        <f t="shared" si="105"/>
        <v>0</v>
      </c>
      <c r="AW54" s="161">
        <f t="shared" si="105"/>
        <v>0</v>
      </c>
      <c r="AX54" s="161">
        <f t="shared" si="105"/>
        <v>0</v>
      </c>
      <c r="AY54" s="161">
        <f t="shared" si="105"/>
        <v>0</v>
      </c>
      <c r="AZ54" s="161">
        <f t="shared" si="105"/>
        <v>0</v>
      </c>
      <c r="BA54" s="161">
        <f t="shared" si="105"/>
        <v>0</v>
      </c>
      <c r="BB54" s="161">
        <f t="shared" si="105"/>
        <v>0</v>
      </c>
      <c r="BC54" s="179"/>
    </row>
    <row r="55" spans="1:55" x14ac:dyDescent="0.25">
      <c r="A55" s="38" t="s">
        <v>164</v>
      </c>
      <c r="C55" s="179"/>
      <c r="D55" s="179"/>
      <c r="E55" s="179"/>
      <c r="F55" s="179"/>
      <c r="G55" s="179"/>
      <c r="H55" s="160">
        <f t="shared" ref="H55:BB55" si="106">H12-G12</f>
        <v>-283</v>
      </c>
      <c r="I55" s="160">
        <f t="shared" si="106"/>
        <v>-652</v>
      </c>
      <c r="J55" s="160">
        <f t="shared" si="106"/>
        <v>-317</v>
      </c>
      <c r="K55" s="160">
        <f t="shared" si="106"/>
        <v>-290</v>
      </c>
      <c r="L55" s="160">
        <f t="shared" si="106"/>
        <v>-196</v>
      </c>
      <c r="M55" s="160">
        <f t="shared" si="106"/>
        <v>39</v>
      </c>
      <c r="N55" s="160">
        <f t="shared" si="106"/>
        <v>543</v>
      </c>
      <c r="O55" s="160">
        <f t="shared" si="106"/>
        <v>355</v>
      </c>
      <c r="P55" s="160">
        <f t="shared" si="106"/>
        <v>72</v>
      </c>
      <c r="Q55" s="160">
        <f t="shared" si="106"/>
        <v>-124</v>
      </c>
      <c r="R55" s="160">
        <f t="shared" si="106"/>
        <v>-360</v>
      </c>
      <c r="S55" s="160">
        <f t="shared" si="106"/>
        <v>-288</v>
      </c>
      <c r="T55" s="160">
        <f t="shared" si="106"/>
        <v>-6</v>
      </c>
      <c r="U55" s="160">
        <f t="shared" si="106"/>
        <v>-188</v>
      </c>
      <c r="V55" s="160">
        <f t="shared" si="106"/>
        <v>-125</v>
      </c>
      <c r="W55" s="160">
        <f t="shared" si="106"/>
        <v>-140</v>
      </c>
      <c r="X55" s="160">
        <f t="shared" si="106"/>
        <v>-167</v>
      </c>
      <c r="Y55" s="160">
        <f t="shared" si="106"/>
        <v>-398</v>
      </c>
      <c r="Z55" s="160">
        <f t="shared" si="106"/>
        <v>-221</v>
      </c>
      <c r="AA55" s="160">
        <f t="shared" si="106"/>
        <v>-278</v>
      </c>
      <c r="AB55" s="160">
        <f t="shared" si="106"/>
        <v>-40</v>
      </c>
      <c r="AC55" s="160">
        <f t="shared" si="106"/>
        <v>-13</v>
      </c>
      <c r="AD55" s="160">
        <f t="shared" si="106"/>
        <v>-132</v>
      </c>
      <c r="AE55" s="160">
        <f t="shared" si="106"/>
        <v>-127</v>
      </c>
      <c r="AF55" s="160">
        <f t="shared" si="106"/>
        <v>19</v>
      </c>
      <c r="AG55" s="160">
        <f t="shared" si="106"/>
        <v>-2</v>
      </c>
      <c r="AH55" s="160">
        <f t="shared" si="106"/>
        <v>-86</v>
      </c>
      <c r="AI55" s="160">
        <f t="shared" si="106"/>
        <v>13</v>
      </c>
      <c r="AJ55" s="160">
        <f t="shared" si="106"/>
        <v>442</v>
      </c>
      <c r="AK55" s="160">
        <f t="shared" si="106"/>
        <v>-683</v>
      </c>
      <c r="AL55" s="160">
        <f t="shared" si="106"/>
        <v>46</v>
      </c>
      <c r="AM55" s="160">
        <f t="shared" si="106"/>
        <v>172</v>
      </c>
      <c r="AN55" s="160">
        <f t="shared" si="106"/>
        <v>-5</v>
      </c>
      <c r="AO55" s="160">
        <f t="shared" si="106"/>
        <v>-26</v>
      </c>
      <c r="AP55" s="160">
        <f t="shared" si="106"/>
        <v>25</v>
      </c>
      <c r="AQ55" s="160">
        <f t="shared" si="106"/>
        <v>-267</v>
      </c>
      <c r="AR55" s="160">
        <f t="shared" si="106"/>
        <v>57</v>
      </c>
      <c r="AS55" s="160">
        <f t="shared" si="106"/>
        <v>39</v>
      </c>
      <c r="AT55" s="160">
        <f t="shared" si="106"/>
        <v>-41</v>
      </c>
      <c r="AU55" s="160">
        <f t="shared" si="106"/>
        <v>-21</v>
      </c>
      <c r="AV55" s="160">
        <f t="shared" si="106"/>
        <v>-94</v>
      </c>
      <c r="AW55" s="160">
        <f t="shared" si="106"/>
        <v>153</v>
      </c>
      <c r="AX55" s="160">
        <f t="shared" si="106"/>
        <v>404</v>
      </c>
      <c r="AY55" s="160">
        <f t="shared" si="106"/>
        <v>-192</v>
      </c>
      <c r="AZ55" s="160">
        <f t="shared" si="106"/>
        <v>100</v>
      </c>
      <c r="BA55" s="160">
        <f t="shared" si="106"/>
        <v>-3</v>
      </c>
      <c r="BB55" s="160">
        <f t="shared" si="106"/>
        <v>-56</v>
      </c>
      <c r="BC55" s="179"/>
    </row>
    <row r="56" spans="1:55" x14ac:dyDescent="0.25">
      <c r="A56" s="38" t="s">
        <v>163</v>
      </c>
      <c r="C56" s="179"/>
      <c r="D56" s="179"/>
      <c r="E56" s="179"/>
      <c r="F56" s="179"/>
      <c r="G56" s="179"/>
      <c r="H56" s="160">
        <f t="shared" ref="H56:BB56" si="107">H13-G13</f>
        <v>20</v>
      </c>
      <c r="I56" s="160">
        <f t="shared" si="107"/>
        <v>-8</v>
      </c>
      <c r="J56" s="160">
        <f t="shared" si="107"/>
        <v>-3</v>
      </c>
      <c r="K56" s="160">
        <f t="shared" si="107"/>
        <v>-1</v>
      </c>
      <c r="L56" s="160">
        <f t="shared" si="107"/>
        <v>-5</v>
      </c>
      <c r="M56" s="160">
        <f t="shared" si="107"/>
        <v>-25</v>
      </c>
      <c r="N56" s="160">
        <f t="shared" si="107"/>
        <v>-45</v>
      </c>
      <c r="O56" s="160">
        <f t="shared" si="107"/>
        <v>-9</v>
      </c>
      <c r="P56" s="160">
        <f t="shared" si="107"/>
        <v>-447</v>
      </c>
      <c r="Q56" s="160">
        <f t="shared" si="107"/>
        <v>-16</v>
      </c>
      <c r="R56" s="160">
        <f t="shared" si="107"/>
        <v>-15</v>
      </c>
      <c r="S56" s="160">
        <f t="shared" si="107"/>
        <v>-73</v>
      </c>
      <c r="T56" s="160">
        <f t="shared" si="107"/>
        <v>-29</v>
      </c>
      <c r="U56" s="160">
        <f t="shared" si="107"/>
        <v>18</v>
      </c>
      <c r="V56" s="160">
        <f t="shared" si="107"/>
        <v>40</v>
      </c>
      <c r="W56" s="160">
        <f t="shared" si="107"/>
        <v>42</v>
      </c>
      <c r="X56" s="160">
        <f t="shared" si="107"/>
        <v>42</v>
      </c>
      <c r="Y56" s="160">
        <f t="shared" si="107"/>
        <v>7</v>
      </c>
      <c r="Z56" s="160">
        <f t="shared" si="107"/>
        <v>45</v>
      </c>
      <c r="AA56" s="160">
        <f t="shared" si="107"/>
        <v>64</v>
      </c>
      <c r="AB56" s="160">
        <f t="shared" si="107"/>
        <v>61</v>
      </c>
      <c r="AC56" s="160">
        <f t="shared" si="107"/>
        <v>86</v>
      </c>
      <c r="AD56" s="160">
        <f t="shared" si="107"/>
        <v>85</v>
      </c>
      <c r="AE56" s="160">
        <f t="shared" si="107"/>
        <v>131</v>
      </c>
      <c r="AF56" s="160">
        <f t="shared" si="107"/>
        <v>117</v>
      </c>
      <c r="AG56" s="160">
        <f t="shared" si="107"/>
        <v>143</v>
      </c>
      <c r="AH56" s="160">
        <f t="shared" si="107"/>
        <v>174</v>
      </c>
      <c r="AI56" s="160">
        <f t="shared" si="107"/>
        <v>78</v>
      </c>
      <c r="AJ56" s="160">
        <f t="shared" si="107"/>
        <v>-32</v>
      </c>
      <c r="AK56" s="160">
        <f t="shared" si="107"/>
        <v>54</v>
      </c>
      <c r="AL56" s="160">
        <f t="shared" si="107"/>
        <v>84</v>
      </c>
      <c r="AM56" s="160">
        <f t="shared" si="107"/>
        <v>67</v>
      </c>
      <c r="AN56" s="160">
        <f t="shared" si="107"/>
        <v>127</v>
      </c>
      <c r="AO56" s="160">
        <f t="shared" si="107"/>
        <v>-26</v>
      </c>
      <c r="AP56" s="160">
        <f t="shared" si="107"/>
        <v>152</v>
      </c>
      <c r="AQ56" s="160">
        <f t="shared" si="107"/>
        <v>65</v>
      </c>
      <c r="AR56" s="160">
        <f t="shared" si="107"/>
        <v>74</v>
      </c>
      <c r="AS56" s="160">
        <f t="shared" si="107"/>
        <v>80</v>
      </c>
      <c r="AT56" s="160">
        <f t="shared" si="107"/>
        <v>113</v>
      </c>
      <c r="AU56" s="160">
        <f t="shared" si="107"/>
        <v>72</v>
      </c>
      <c r="AV56" s="160">
        <f t="shared" si="107"/>
        <v>58</v>
      </c>
      <c r="AW56" s="160">
        <f t="shared" si="107"/>
        <v>104</v>
      </c>
      <c r="AX56" s="160">
        <f t="shared" si="107"/>
        <v>97</v>
      </c>
      <c r="AY56" s="160">
        <f t="shared" si="107"/>
        <v>111</v>
      </c>
      <c r="AZ56" s="160">
        <f t="shared" si="107"/>
        <v>96</v>
      </c>
      <c r="BA56" s="160">
        <f t="shared" si="107"/>
        <v>114</v>
      </c>
      <c r="BB56" s="160">
        <f t="shared" si="107"/>
        <v>145</v>
      </c>
      <c r="BC56" s="179"/>
    </row>
    <row r="57" spans="1:55" x14ac:dyDescent="0.25">
      <c r="C57" s="179"/>
      <c r="D57" s="179"/>
      <c r="E57" s="179"/>
      <c r="F57" s="179"/>
      <c r="G57" s="179"/>
      <c r="H57" s="179"/>
      <c r="I57" s="179"/>
      <c r="J57" s="179"/>
      <c r="K57" s="179"/>
      <c r="L57" s="179"/>
      <c r="M57" s="180"/>
      <c r="N57" s="180"/>
      <c r="O57" s="180"/>
      <c r="P57" s="180"/>
      <c r="Q57" s="180"/>
      <c r="R57" s="180"/>
      <c r="S57" s="180"/>
      <c r="T57" s="180"/>
      <c r="U57" s="180"/>
      <c r="V57" s="180"/>
      <c r="W57" s="180"/>
      <c r="X57" s="180"/>
      <c r="Y57" s="180"/>
      <c r="Z57" s="180"/>
      <c r="AA57" s="180"/>
      <c r="AB57" s="180"/>
      <c r="AC57" s="180"/>
      <c r="AD57" s="180"/>
      <c r="AE57" s="149"/>
      <c r="AF57" s="149"/>
      <c r="AG57" s="149"/>
      <c r="AH57" s="149"/>
      <c r="AI57" s="149"/>
      <c r="AJ57" s="149"/>
      <c r="AK57" s="149"/>
      <c r="AL57" s="149"/>
      <c r="AM57" s="149"/>
      <c r="AN57" s="149"/>
      <c r="AO57" s="149"/>
      <c r="AP57" s="149"/>
      <c r="AQ57" s="149"/>
      <c r="AR57" s="149"/>
      <c r="AS57" s="149"/>
      <c r="AT57" s="149"/>
      <c r="AU57" s="149"/>
      <c r="AV57" s="149"/>
      <c r="AW57" s="149"/>
      <c r="AX57" s="149"/>
      <c r="AY57" s="149"/>
      <c r="AZ57" s="149"/>
      <c r="BA57" s="149"/>
      <c r="BB57" s="149"/>
      <c r="BC57" s="179"/>
    </row>
    <row r="58" spans="1:55" x14ac:dyDescent="0.25">
      <c r="A58" s="38" t="s">
        <v>165</v>
      </c>
      <c r="C58" s="179"/>
      <c r="D58" s="179"/>
      <c r="E58" s="179"/>
      <c r="F58" s="179"/>
      <c r="G58" s="179"/>
      <c r="H58" s="179"/>
      <c r="I58" s="180"/>
      <c r="J58" s="180"/>
      <c r="K58" s="149">
        <f t="shared" ref="K58:T59" si="108">K23/G23-1</f>
        <v>3.125E-2</v>
      </c>
      <c r="L58" s="149">
        <f t="shared" si="108"/>
        <v>9.6774193548387011E-2</v>
      </c>
      <c r="M58" s="149">
        <f t="shared" si="108"/>
        <v>6.0606060606060552E-2</v>
      </c>
      <c r="N58" s="149">
        <f t="shared" si="108"/>
        <v>6.0606060606060552E-2</v>
      </c>
      <c r="O58" s="149">
        <f t="shared" si="108"/>
        <v>6.0606060606060552E-2</v>
      </c>
      <c r="P58" s="149">
        <f t="shared" si="108"/>
        <v>-2.9411764705882359E-2</v>
      </c>
      <c r="Q58" s="149">
        <f t="shared" si="108"/>
        <v>0</v>
      </c>
      <c r="R58" s="149">
        <f t="shared" si="108"/>
        <v>0</v>
      </c>
      <c r="S58" s="149">
        <f t="shared" si="108"/>
        <v>0</v>
      </c>
      <c r="T58" s="149">
        <f t="shared" si="108"/>
        <v>3.0303030303030276E-2</v>
      </c>
      <c r="U58" s="149">
        <f t="shared" ref="U58:AD59" si="109">U23/Q23-1</f>
        <v>2.857142857142847E-2</v>
      </c>
      <c r="V58" s="149">
        <f t="shared" si="109"/>
        <v>5.7142857142857162E-2</v>
      </c>
      <c r="W58" s="149">
        <f t="shared" si="109"/>
        <v>2.857142857142847E-2</v>
      </c>
      <c r="X58" s="149">
        <f t="shared" si="109"/>
        <v>5.8823529411764719E-2</v>
      </c>
      <c r="Y58" s="149">
        <f t="shared" si="109"/>
        <v>0</v>
      </c>
      <c r="Z58" s="149">
        <f t="shared" si="109"/>
        <v>-2.7027027027026973E-2</v>
      </c>
      <c r="AA58" s="149">
        <f t="shared" si="109"/>
        <v>-2.777777777777779E-2</v>
      </c>
      <c r="AB58" s="149">
        <f t="shared" si="109"/>
        <v>2.7777777777777679E-2</v>
      </c>
      <c r="AC58" s="149">
        <f t="shared" si="109"/>
        <v>0</v>
      </c>
      <c r="AD58" s="149">
        <f t="shared" si="109"/>
        <v>2.7777777777777679E-2</v>
      </c>
      <c r="AE58" s="149">
        <f t="shared" ref="AE58:AN59" si="110">AE23/AA23-1</f>
        <v>0</v>
      </c>
      <c r="AF58" s="149">
        <f t="shared" si="110"/>
        <v>-5.4054054054054057E-2</v>
      </c>
      <c r="AG58" s="149">
        <f t="shared" si="110"/>
        <v>-2.777777777777779E-2</v>
      </c>
      <c r="AH58" s="149">
        <f t="shared" si="110"/>
        <v>-5.4054054054054057E-2</v>
      </c>
      <c r="AI58" s="149">
        <f t="shared" si="110"/>
        <v>-8.5714285714285743E-2</v>
      </c>
      <c r="AJ58" s="149">
        <f t="shared" si="110"/>
        <v>-0.12571428571428567</v>
      </c>
      <c r="AK58" s="149">
        <f t="shared" si="110"/>
        <v>-5.428571428571427E-2</v>
      </c>
      <c r="AL58" s="149">
        <f t="shared" si="110"/>
        <v>-7.4285714285714288E-2</v>
      </c>
      <c r="AM58" s="149">
        <f t="shared" si="110"/>
        <v>-1.2499999999999956E-2</v>
      </c>
      <c r="AN58" s="149">
        <f t="shared" si="110"/>
        <v>1.3071895424836555E-2</v>
      </c>
      <c r="AO58" s="149">
        <f t="shared" ref="AO58:AX59" si="111">AO23/AK23-1</f>
        <v>-7.8549848942598199E-2</v>
      </c>
      <c r="AP58" s="149">
        <f t="shared" si="111"/>
        <v>-8.333333333333337E-2</v>
      </c>
      <c r="AQ58" s="149">
        <f t="shared" si="111"/>
        <v>-4.4303797468354444E-2</v>
      </c>
      <c r="AR58" s="149">
        <f t="shared" si="111"/>
        <v>2.5806451612903292E-2</v>
      </c>
      <c r="AS58" s="149">
        <f t="shared" si="111"/>
        <v>2.6229508196721429E-2</v>
      </c>
      <c r="AT58" s="149">
        <f t="shared" si="111"/>
        <v>7.0707070707070718E-2</v>
      </c>
      <c r="AU58" s="149">
        <f t="shared" si="111"/>
        <v>1.655629139072845E-2</v>
      </c>
      <c r="AV58" s="149">
        <f t="shared" si="111"/>
        <v>-3.1446540880503138E-2</v>
      </c>
      <c r="AW58" s="149">
        <f t="shared" si="111"/>
        <v>-1.9169329073482455E-2</v>
      </c>
      <c r="AX58" s="149">
        <f t="shared" si="111"/>
        <v>-6.9182389937106903E-2</v>
      </c>
      <c r="AY58" s="149">
        <f t="shared" ref="AY58:BB59" si="112">AY23/AU23-1</f>
        <v>-6.514657980456029E-2</v>
      </c>
      <c r="AZ58" s="149">
        <f t="shared" si="112"/>
        <v>-6.1688311688311792E-2</v>
      </c>
      <c r="BA58" s="149">
        <f t="shared" si="112"/>
        <v>-7.4918566775244333E-2</v>
      </c>
      <c r="BB58" s="149">
        <f t="shared" si="112"/>
        <v>-5.0675675675675658E-2</v>
      </c>
      <c r="BC58" s="179"/>
    </row>
    <row r="59" spans="1:55" x14ac:dyDescent="0.25">
      <c r="A59" s="38" t="s">
        <v>166</v>
      </c>
      <c r="C59" s="179"/>
      <c r="D59" s="179"/>
      <c r="E59" s="179"/>
      <c r="F59" s="179"/>
      <c r="G59" s="179"/>
      <c r="H59" s="179"/>
      <c r="I59" s="180"/>
      <c r="J59" s="180"/>
      <c r="K59" s="149">
        <f t="shared" si="108"/>
        <v>-5.8823529411764719E-2</v>
      </c>
      <c r="L59" s="149">
        <f t="shared" si="108"/>
        <v>-5.8252427184465994E-2</v>
      </c>
      <c r="M59" s="149">
        <f t="shared" si="108"/>
        <v>-6.0000000000000053E-2</v>
      </c>
      <c r="N59" s="149">
        <f t="shared" si="108"/>
        <v>-3.0000000000000027E-2</v>
      </c>
      <c r="O59" s="149">
        <f t="shared" si="108"/>
        <v>-1.041666666666663E-2</v>
      </c>
      <c r="P59" s="149">
        <f t="shared" si="108"/>
        <v>-1.0309278350515427E-2</v>
      </c>
      <c r="Q59" s="149">
        <f t="shared" si="108"/>
        <v>3.1914893617021267E-2</v>
      </c>
      <c r="R59" s="149">
        <f t="shared" si="108"/>
        <v>5.1546391752577359E-2</v>
      </c>
      <c r="S59" s="149">
        <f t="shared" si="108"/>
        <v>6.315789473684208E-2</v>
      </c>
      <c r="T59" s="149">
        <f t="shared" si="108"/>
        <v>5.2083333333333259E-2</v>
      </c>
      <c r="U59" s="149">
        <f t="shared" si="109"/>
        <v>3.0927835051546282E-2</v>
      </c>
      <c r="V59" s="149">
        <f t="shared" si="109"/>
        <v>1.9607843137254832E-2</v>
      </c>
      <c r="W59" s="149">
        <f t="shared" si="109"/>
        <v>-4.9504950495049549E-2</v>
      </c>
      <c r="X59" s="149">
        <f t="shared" si="109"/>
        <v>-4.9504950495049549E-2</v>
      </c>
      <c r="Y59" s="149">
        <f t="shared" si="109"/>
        <v>-4.0000000000000036E-2</v>
      </c>
      <c r="Z59" s="149">
        <f t="shared" si="109"/>
        <v>-7.6923076923076872E-2</v>
      </c>
      <c r="AA59" s="149">
        <f t="shared" si="109"/>
        <v>-4.166666666666663E-2</v>
      </c>
      <c r="AB59" s="149">
        <f t="shared" si="109"/>
        <v>-2.083333333333337E-2</v>
      </c>
      <c r="AC59" s="149">
        <f t="shared" si="109"/>
        <v>-3.125E-2</v>
      </c>
      <c r="AD59" s="149">
        <f t="shared" si="109"/>
        <v>-2.083333333333337E-2</v>
      </c>
      <c r="AE59" s="149">
        <f t="shared" si="110"/>
        <v>-4.3478260869565188E-2</v>
      </c>
      <c r="AF59" s="149">
        <f t="shared" si="110"/>
        <v>-8.5106382978723416E-2</v>
      </c>
      <c r="AG59" s="149">
        <f t="shared" si="110"/>
        <v>-8.6021505376344121E-2</v>
      </c>
      <c r="AH59" s="149">
        <f t="shared" si="110"/>
        <v>-0.1063829787234043</v>
      </c>
      <c r="AI59" s="149">
        <f t="shared" si="110"/>
        <v>-7.9545454545454586E-2</v>
      </c>
      <c r="AJ59" s="149">
        <f t="shared" si="110"/>
        <v>-7.5581395348837233E-2</v>
      </c>
      <c r="AK59" s="149">
        <f t="shared" si="110"/>
        <v>-7.7647058823529291E-2</v>
      </c>
      <c r="AL59" s="149">
        <f t="shared" si="110"/>
        <v>-7.9761904761904812E-2</v>
      </c>
      <c r="AM59" s="149">
        <f t="shared" si="110"/>
        <v>-6.1728395061728447E-2</v>
      </c>
      <c r="AN59" s="149">
        <f t="shared" si="110"/>
        <v>-5.1572327044025035E-2</v>
      </c>
      <c r="AO59" s="149">
        <f t="shared" si="111"/>
        <v>-4.3367346938775531E-2</v>
      </c>
      <c r="AP59" s="149">
        <f t="shared" si="111"/>
        <v>-5.0452781371280619E-2</v>
      </c>
      <c r="AQ59" s="149">
        <f t="shared" si="111"/>
        <v>-4.6052631578947345E-2</v>
      </c>
      <c r="AR59" s="149">
        <f t="shared" si="111"/>
        <v>-3.5809018567639295E-2</v>
      </c>
      <c r="AS59" s="149">
        <f t="shared" si="111"/>
        <v>-2.9333333333333322E-2</v>
      </c>
      <c r="AT59" s="149">
        <f t="shared" si="111"/>
        <v>-9.5367847411444995E-3</v>
      </c>
      <c r="AU59" s="149">
        <f t="shared" si="111"/>
        <v>-1.6551724137931045E-2</v>
      </c>
      <c r="AV59" s="149">
        <f t="shared" si="111"/>
        <v>-2.3383768913342595E-2</v>
      </c>
      <c r="AW59" s="149">
        <f t="shared" si="111"/>
        <v>-3.5714285714285587E-2</v>
      </c>
      <c r="AX59" s="149">
        <f t="shared" si="111"/>
        <v>-3.9889958734525499E-2</v>
      </c>
      <c r="AY59" s="149">
        <f t="shared" si="112"/>
        <v>-4.2075736325385749E-2</v>
      </c>
      <c r="AZ59" s="149">
        <f t="shared" si="112"/>
        <v>-4.9295774647887369E-2</v>
      </c>
      <c r="BA59" s="149">
        <f t="shared" si="112"/>
        <v>-4.5584045584045607E-2</v>
      </c>
      <c r="BB59" s="149">
        <f t="shared" si="112"/>
        <v>-3.1518624641833859E-2</v>
      </c>
      <c r="BC59" s="179"/>
    </row>
    <row r="60" spans="1:55" x14ac:dyDescent="0.25">
      <c r="C60" s="179"/>
      <c r="D60" s="179"/>
      <c r="E60" s="179"/>
      <c r="F60" s="179"/>
      <c r="G60" s="179"/>
      <c r="H60" s="179"/>
      <c r="I60" s="179"/>
      <c r="J60" s="179"/>
      <c r="K60" s="179"/>
      <c r="L60" s="179"/>
      <c r="M60" s="180"/>
      <c r="N60" s="180"/>
      <c r="O60" s="180"/>
      <c r="P60" s="180"/>
      <c r="Q60" s="180"/>
      <c r="R60" s="180"/>
      <c r="S60" s="180"/>
      <c r="T60" s="180"/>
      <c r="U60" s="180"/>
      <c r="V60" s="180"/>
      <c r="W60" s="180"/>
      <c r="X60" s="180"/>
      <c r="Y60" s="180"/>
      <c r="Z60" s="180"/>
      <c r="AA60" s="180"/>
      <c r="AB60" s="180"/>
      <c r="AC60" s="180"/>
      <c r="AD60" s="180"/>
      <c r="AE60" s="149"/>
      <c r="AF60" s="149"/>
      <c r="AG60" s="149"/>
      <c r="AH60" s="149"/>
      <c r="AI60" s="149"/>
      <c r="AJ60" s="149"/>
      <c r="AK60" s="149"/>
      <c r="AL60" s="149"/>
      <c r="AM60" s="149"/>
      <c r="AN60" s="149"/>
      <c r="AO60" s="149"/>
      <c r="AP60" s="149"/>
      <c r="AQ60" s="149"/>
      <c r="AR60" s="149"/>
      <c r="AS60" s="149"/>
      <c r="AT60" s="149"/>
      <c r="AU60" s="149"/>
      <c r="AV60" s="149"/>
      <c r="AW60" s="149"/>
      <c r="AX60" s="149"/>
      <c r="AY60" s="149"/>
      <c r="AZ60" s="149"/>
      <c r="BA60" s="149"/>
      <c r="BB60" s="149"/>
      <c r="BC60" s="179"/>
    </row>
    <row r="61" spans="1:55" x14ac:dyDescent="0.25">
      <c r="A61" s="38" t="s">
        <v>172</v>
      </c>
      <c r="C61" s="179"/>
      <c r="D61" s="179"/>
      <c r="E61" s="180"/>
      <c r="F61" s="180"/>
      <c r="G61" s="149">
        <f t="shared" ref="G61:AY61" si="113">G20/SUM(G19:G20)</f>
        <v>0.51742497579864477</v>
      </c>
      <c r="H61" s="149">
        <f t="shared" si="113"/>
        <v>0.50775945683802137</v>
      </c>
      <c r="I61" s="149">
        <f t="shared" si="113"/>
        <v>0.51438322769380795</v>
      </c>
      <c r="J61" s="149">
        <f t="shared" si="113"/>
        <v>0.49802371541501977</v>
      </c>
      <c r="K61" s="149">
        <f t="shared" si="113"/>
        <v>0.49615975422427033</v>
      </c>
      <c r="L61" s="149">
        <f t="shared" si="113"/>
        <v>0.49642492339121552</v>
      </c>
      <c r="M61" s="149">
        <f t="shared" si="113"/>
        <v>0.50767656090071644</v>
      </c>
      <c r="N61" s="149">
        <f t="shared" si="113"/>
        <v>0.50552208835341361</v>
      </c>
      <c r="O61" s="149">
        <f t="shared" si="113"/>
        <v>0.51976284584980237</v>
      </c>
      <c r="P61" s="149">
        <f t="shared" si="113"/>
        <v>0.50806451612903225</v>
      </c>
      <c r="Q61" s="149">
        <f t="shared" si="113"/>
        <v>0.52297165200391005</v>
      </c>
      <c r="R61" s="149">
        <f t="shared" si="113"/>
        <v>0.5056179775280899</v>
      </c>
      <c r="S61" s="149">
        <f t="shared" si="113"/>
        <v>0.50274314214463844</v>
      </c>
      <c r="T61" s="149">
        <f t="shared" si="113"/>
        <v>0.49431230610134436</v>
      </c>
      <c r="U61" s="149">
        <f t="shared" si="113"/>
        <v>0.51311806256306758</v>
      </c>
      <c r="V61" s="149">
        <f t="shared" si="113"/>
        <v>0.50197238658777121</v>
      </c>
      <c r="W61" s="149">
        <f t="shared" si="113"/>
        <v>0.51802265705458295</v>
      </c>
      <c r="X61" s="149">
        <f t="shared" si="113"/>
        <v>0.50933609958506221</v>
      </c>
      <c r="Y61" s="149">
        <f t="shared" si="113"/>
        <v>0.48713991769547327</v>
      </c>
      <c r="Z61" s="149">
        <f t="shared" si="113"/>
        <v>0.52398523985239853</v>
      </c>
      <c r="AA61" s="149">
        <f t="shared" si="113"/>
        <v>0.46292257360959649</v>
      </c>
      <c r="AB61" s="149">
        <f t="shared" si="113"/>
        <v>0.45840042941492215</v>
      </c>
      <c r="AC61" s="149">
        <f t="shared" si="113"/>
        <v>0.45362473347547977</v>
      </c>
      <c r="AD61" s="149">
        <f t="shared" si="113"/>
        <v>0.4452054794520548</v>
      </c>
      <c r="AE61" s="149">
        <f t="shared" si="113"/>
        <v>0.44351697273233165</v>
      </c>
      <c r="AF61" s="149">
        <f t="shared" si="113"/>
        <v>0.44866704480998298</v>
      </c>
      <c r="AG61" s="149">
        <f t="shared" si="113"/>
        <v>0.4478285391990976</v>
      </c>
      <c r="AH61" s="149">
        <f t="shared" si="113"/>
        <v>0.44187358916478553</v>
      </c>
      <c r="AI61" s="149">
        <f t="shared" si="113"/>
        <v>0.4204946996466431</v>
      </c>
      <c r="AJ61" s="149">
        <f t="shared" si="113"/>
        <v>0.41325301204819276</v>
      </c>
      <c r="AK61" s="149">
        <f t="shared" si="113"/>
        <v>0.42857142857142855</v>
      </c>
      <c r="AL61" s="149">
        <f t="shared" si="113"/>
        <v>0.41852074564040892</v>
      </c>
      <c r="AM61" s="149">
        <f t="shared" si="113"/>
        <v>0.41466346153846156</v>
      </c>
      <c r="AN61" s="149">
        <f t="shared" si="113"/>
        <v>0.40604623592175459</v>
      </c>
      <c r="AO61" s="149">
        <f t="shared" si="113"/>
        <v>0.39941690962099125</v>
      </c>
      <c r="AP61" s="149">
        <f t="shared" si="113"/>
        <v>0.39127837514934288</v>
      </c>
      <c r="AQ61" s="149">
        <f t="shared" si="113"/>
        <v>0.38692579505300351</v>
      </c>
      <c r="AR61" s="149">
        <f t="shared" si="113"/>
        <v>0.38844393592677345</v>
      </c>
      <c r="AS61" s="149">
        <f t="shared" si="113"/>
        <v>0.38235294117647056</v>
      </c>
      <c r="AT61" s="149">
        <f t="shared" si="113"/>
        <v>0.37981037367540438</v>
      </c>
      <c r="AU61" s="149">
        <f t="shared" si="113"/>
        <v>0.37051569506726456</v>
      </c>
      <c r="AV61" s="149">
        <f t="shared" si="113"/>
        <v>0.36593591905564926</v>
      </c>
      <c r="AW61" s="149">
        <f t="shared" si="113"/>
        <v>0.36101882613510522</v>
      </c>
      <c r="AX61" s="149">
        <f t="shared" si="113"/>
        <v>0.35578489951113523</v>
      </c>
      <c r="AY61" s="149">
        <f t="shared" si="113"/>
        <v>0.35290918977705277</v>
      </c>
      <c r="AZ61" s="149">
        <f t="shared" ref="AZ61:BA61" si="114">AZ20/SUM(AZ19:AZ20)</f>
        <v>0.35045970795024339</v>
      </c>
      <c r="BA61" s="149">
        <f t="shared" si="114"/>
        <v>0.34592552617377226</v>
      </c>
      <c r="BB61" s="149">
        <f t="shared" ref="BB61" si="115">BB20/SUM(BB19:BB20)</f>
        <v>0.33583288698446706</v>
      </c>
      <c r="BC61" s="179"/>
    </row>
    <row r="62" spans="1:55" x14ac:dyDescent="0.25">
      <c r="A62" s="38" t="s">
        <v>173</v>
      </c>
      <c r="C62" s="179"/>
      <c r="D62" s="179"/>
      <c r="E62" s="180"/>
      <c r="F62" s="180"/>
      <c r="G62" s="149">
        <f t="shared" ref="G62:AY62" si="116">G19/SUM(G19:G20)</f>
        <v>0.48257502420135528</v>
      </c>
      <c r="H62" s="149">
        <f t="shared" si="116"/>
        <v>0.49224054316197868</v>
      </c>
      <c r="I62" s="149">
        <f t="shared" si="116"/>
        <v>0.4856167723061921</v>
      </c>
      <c r="J62" s="149">
        <f t="shared" si="116"/>
        <v>0.50197628458498023</v>
      </c>
      <c r="K62" s="149">
        <f t="shared" si="116"/>
        <v>0.50384024577572961</v>
      </c>
      <c r="L62" s="149">
        <f t="shared" si="116"/>
        <v>0.50357507660878442</v>
      </c>
      <c r="M62" s="149">
        <f t="shared" si="116"/>
        <v>0.4923234390992835</v>
      </c>
      <c r="N62" s="149">
        <f t="shared" si="116"/>
        <v>0.49447791164658633</v>
      </c>
      <c r="O62" s="149">
        <f t="shared" si="116"/>
        <v>0.48023715415019763</v>
      </c>
      <c r="P62" s="149">
        <f t="shared" si="116"/>
        <v>0.49193548387096775</v>
      </c>
      <c r="Q62" s="149">
        <f t="shared" si="116"/>
        <v>0.47702834799608995</v>
      </c>
      <c r="R62" s="149">
        <f t="shared" si="116"/>
        <v>0.4943820224719101</v>
      </c>
      <c r="S62" s="149">
        <f t="shared" si="116"/>
        <v>0.49725685785536161</v>
      </c>
      <c r="T62" s="149">
        <f t="shared" si="116"/>
        <v>0.50568769389865564</v>
      </c>
      <c r="U62" s="149">
        <f t="shared" si="116"/>
        <v>0.48688193743693237</v>
      </c>
      <c r="V62" s="149">
        <f t="shared" si="116"/>
        <v>0.49802761341222879</v>
      </c>
      <c r="W62" s="149">
        <f t="shared" si="116"/>
        <v>0.48197734294541711</v>
      </c>
      <c r="X62" s="149">
        <f t="shared" si="116"/>
        <v>0.49066390041493774</v>
      </c>
      <c r="Y62" s="149">
        <f t="shared" si="116"/>
        <v>0.51286008230452673</v>
      </c>
      <c r="Z62" s="149">
        <f t="shared" si="116"/>
        <v>0.47601476014760147</v>
      </c>
      <c r="AA62" s="149">
        <f t="shared" si="116"/>
        <v>0.53707742639040346</v>
      </c>
      <c r="AB62" s="149">
        <f t="shared" si="116"/>
        <v>0.54159957058507779</v>
      </c>
      <c r="AC62" s="149">
        <f t="shared" si="116"/>
        <v>0.54637526652452029</v>
      </c>
      <c r="AD62" s="149">
        <f t="shared" si="116"/>
        <v>0.5547945205479452</v>
      </c>
      <c r="AE62" s="149">
        <f t="shared" si="116"/>
        <v>0.5564830272676683</v>
      </c>
      <c r="AF62" s="149">
        <f t="shared" si="116"/>
        <v>0.55133295519001702</v>
      </c>
      <c r="AG62" s="149">
        <f t="shared" si="116"/>
        <v>0.5521714608009024</v>
      </c>
      <c r="AH62" s="149">
        <f t="shared" si="116"/>
        <v>0.55812641083521441</v>
      </c>
      <c r="AI62" s="149">
        <f t="shared" si="116"/>
        <v>0.5795053003533569</v>
      </c>
      <c r="AJ62" s="149">
        <f t="shared" si="116"/>
        <v>0.58674698795180724</v>
      </c>
      <c r="AK62" s="149">
        <f t="shared" si="116"/>
        <v>0.5714285714285714</v>
      </c>
      <c r="AL62" s="149">
        <f t="shared" si="116"/>
        <v>0.58147925435959114</v>
      </c>
      <c r="AM62" s="149">
        <f t="shared" si="116"/>
        <v>0.58533653846153844</v>
      </c>
      <c r="AN62" s="149">
        <f t="shared" si="116"/>
        <v>0.59395376407824541</v>
      </c>
      <c r="AO62" s="149">
        <f t="shared" si="116"/>
        <v>0.6005830903790087</v>
      </c>
      <c r="AP62" s="149">
        <f t="shared" si="116"/>
        <v>0.60872162485065706</v>
      </c>
      <c r="AQ62" s="149">
        <f t="shared" si="116"/>
        <v>0.61307420494699649</v>
      </c>
      <c r="AR62" s="149">
        <f t="shared" si="116"/>
        <v>0.61155606407322649</v>
      </c>
      <c r="AS62" s="149">
        <f t="shared" si="116"/>
        <v>0.61764705882352944</v>
      </c>
      <c r="AT62" s="149">
        <f t="shared" si="116"/>
        <v>0.62018962632459562</v>
      </c>
      <c r="AU62" s="149">
        <f t="shared" si="116"/>
        <v>0.62948430493273544</v>
      </c>
      <c r="AV62" s="149">
        <f t="shared" si="116"/>
        <v>0.63406408094435074</v>
      </c>
      <c r="AW62" s="149">
        <f t="shared" si="116"/>
        <v>0.63898117386489484</v>
      </c>
      <c r="AX62" s="149">
        <f t="shared" si="116"/>
        <v>0.64421510048886477</v>
      </c>
      <c r="AY62" s="149">
        <f t="shared" si="116"/>
        <v>0.64709081022294723</v>
      </c>
      <c r="AZ62" s="149">
        <f t="shared" ref="AZ62:BA62" si="117">AZ19/SUM(AZ19:AZ20)</f>
        <v>0.64954029204975661</v>
      </c>
      <c r="BA62" s="149">
        <f t="shared" si="117"/>
        <v>0.65407447382622774</v>
      </c>
      <c r="BB62" s="149">
        <f t="shared" ref="BB62" si="118">BB19/SUM(BB19:BB20)</f>
        <v>0.66416711301553299</v>
      </c>
      <c r="BC62" s="179"/>
    </row>
    <row r="63" spans="1:55" x14ac:dyDescent="0.25">
      <c r="C63" s="179"/>
      <c r="D63" s="179"/>
      <c r="E63" s="179"/>
      <c r="F63" s="179"/>
      <c r="G63" s="179"/>
      <c r="H63" s="179"/>
      <c r="I63" s="179"/>
      <c r="J63" s="179"/>
      <c r="K63" s="179"/>
      <c r="L63" s="179"/>
      <c r="M63" s="179"/>
      <c r="N63" s="179"/>
      <c r="O63" s="179"/>
      <c r="P63" s="179"/>
      <c r="Q63" s="179"/>
      <c r="R63" s="179"/>
      <c r="S63" s="179"/>
      <c r="T63" s="179"/>
      <c r="U63" s="179"/>
      <c r="V63" s="179"/>
      <c r="W63" s="179"/>
      <c r="X63" s="179"/>
      <c r="Y63" s="179"/>
      <c r="Z63" s="180"/>
      <c r="AA63" s="180"/>
      <c r="AB63" s="180"/>
      <c r="AC63" s="180"/>
      <c r="AD63" s="180"/>
      <c r="AE63" s="149"/>
      <c r="AF63" s="149"/>
      <c r="AG63" s="149"/>
      <c r="AH63" s="149"/>
      <c r="AI63" s="149"/>
      <c r="AJ63" s="149"/>
      <c r="AK63" s="149"/>
      <c r="AL63" s="149"/>
      <c r="AM63" s="149"/>
      <c r="AN63" s="149"/>
      <c r="AO63" s="149"/>
      <c r="AP63" s="150"/>
      <c r="AQ63" s="150"/>
      <c r="AR63" s="149"/>
      <c r="AS63" s="149"/>
      <c r="AT63" s="149"/>
      <c r="AU63" s="149"/>
      <c r="AV63" s="149"/>
      <c r="AW63" s="149"/>
      <c r="AX63" s="149"/>
      <c r="AY63" s="149"/>
      <c r="AZ63" s="149"/>
      <c r="BA63" s="149"/>
      <c r="BB63" s="149"/>
      <c r="BC63" s="179"/>
    </row>
    <row r="64" spans="1:55" s="111" customFormat="1" x14ac:dyDescent="0.25">
      <c r="A64" s="111" t="s">
        <v>7</v>
      </c>
      <c r="C64" s="173"/>
      <c r="D64" s="173"/>
      <c r="E64" s="173"/>
      <c r="F64" s="173"/>
      <c r="G64" s="173"/>
      <c r="H64" s="173"/>
      <c r="I64" s="173"/>
      <c r="J64" s="173"/>
      <c r="K64" s="173"/>
      <c r="L64" s="173"/>
      <c r="M64" s="173"/>
      <c r="N64" s="173"/>
      <c r="O64" s="173"/>
      <c r="P64" s="173"/>
      <c r="Q64" s="173"/>
      <c r="R64" s="173"/>
      <c r="S64" s="173"/>
      <c r="T64" s="173"/>
      <c r="U64" s="173"/>
      <c r="V64" s="173"/>
      <c r="W64" s="173"/>
      <c r="X64" s="173"/>
      <c r="Y64" s="173"/>
      <c r="Z64" s="173"/>
      <c r="AA64" s="173"/>
      <c r="AB64" s="173"/>
      <c r="AC64" s="173"/>
      <c r="AD64" s="173"/>
      <c r="AE64" s="174"/>
      <c r="AF64" s="174"/>
      <c r="AG64" s="174"/>
      <c r="AH64" s="174"/>
      <c r="AI64" s="174"/>
      <c r="AJ64" s="174"/>
      <c r="AK64" s="174"/>
      <c r="AL64" s="174"/>
      <c r="AM64" s="174"/>
      <c r="AN64" s="174"/>
      <c r="AO64" s="174"/>
      <c r="AP64" s="174"/>
      <c r="AQ64" s="174"/>
      <c r="AR64" s="174"/>
      <c r="AS64" s="174"/>
      <c r="AT64" s="174"/>
      <c r="AU64" s="174"/>
      <c r="AV64" s="174"/>
      <c r="AW64" s="174"/>
      <c r="AX64" s="174"/>
      <c r="AY64" s="174"/>
      <c r="AZ64" s="174"/>
      <c r="BA64" s="174"/>
      <c r="BB64" s="174"/>
      <c r="BC64" s="173"/>
    </row>
    <row r="65" spans="1:55" x14ac:dyDescent="0.25">
      <c r="C65" s="179"/>
      <c r="D65" s="179"/>
      <c r="E65" s="179"/>
      <c r="F65" s="179"/>
      <c r="G65" s="179"/>
      <c r="H65" s="179"/>
      <c r="I65" s="179"/>
      <c r="J65" s="179"/>
      <c r="K65" s="179"/>
      <c r="L65" s="179"/>
      <c r="M65" s="179"/>
      <c r="N65" s="179"/>
      <c r="O65" s="179"/>
      <c r="P65" s="179"/>
      <c r="Q65" s="179"/>
      <c r="R65" s="179"/>
      <c r="S65" s="179"/>
      <c r="T65" s="179"/>
      <c r="U65" s="179"/>
      <c r="V65" s="179"/>
      <c r="W65" s="179"/>
      <c r="X65" s="179"/>
      <c r="Y65" s="179"/>
      <c r="Z65" s="180"/>
      <c r="AA65" s="180"/>
      <c r="AB65" s="180"/>
      <c r="AC65" s="180"/>
      <c r="AD65" s="180"/>
      <c r="AE65" s="149"/>
      <c r="AF65" s="149"/>
      <c r="AG65" s="149"/>
      <c r="AH65" s="149"/>
      <c r="AI65" s="149"/>
      <c r="AJ65" s="149"/>
      <c r="AK65" s="149"/>
      <c r="AL65" s="149"/>
      <c r="AM65" s="149"/>
      <c r="AN65" s="149"/>
      <c r="AO65" s="149"/>
      <c r="AP65" s="150"/>
      <c r="AQ65" s="150"/>
      <c r="AR65" s="149"/>
      <c r="AS65" s="149"/>
      <c r="AT65" s="149"/>
      <c r="AU65" s="149"/>
      <c r="AV65" s="149"/>
      <c r="AW65" s="149"/>
      <c r="AX65" s="149"/>
      <c r="AY65" s="149"/>
      <c r="AZ65" s="149"/>
      <c r="BA65" s="149"/>
      <c r="BB65" s="149"/>
      <c r="BC65" s="179"/>
    </row>
    <row r="66" spans="1:55" x14ac:dyDescent="0.25">
      <c r="A66" s="38" t="s">
        <v>45</v>
      </c>
      <c r="C66" s="152">
        <f t="shared" ref="C66:N66" si="119">C47*C29*3/1000</f>
        <v>7260.75</v>
      </c>
      <c r="D66" s="152">
        <f t="shared" si="119"/>
        <v>7259.9624999999996</v>
      </c>
      <c r="E66" s="152">
        <f t="shared" si="119"/>
        <v>6661.68</v>
      </c>
      <c r="F66" s="152">
        <f t="shared" si="119"/>
        <v>6935.1975000000002</v>
      </c>
      <c r="G66" s="152">
        <f t="shared" si="119"/>
        <v>6774.48</v>
      </c>
      <c r="H66" s="152">
        <f t="shared" si="119"/>
        <v>6554.1059999999998</v>
      </c>
      <c r="I66" s="152">
        <f t="shared" si="119"/>
        <v>6216.2370000000001</v>
      </c>
      <c r="J66" s="152">
        <f t="shared" si="119"/>
        <v>6069.6450000000004</v>
      </c>
      <c r="K66" s="152">
        <f t="shared" si="119"/>
        <v>5889.3450000000003</v>
      </c>
      <c r="L66" s="152">
        <f t="shared" si="119"/>
        <v>6038.2245000000003</v>
      </c>
      <c r="M66" s="152">
        <f t="shared" si="119"/>
        <v>6141.96</v>
      </c>
      <c r="N66" s="152">
        <f t="shared" si="119"/>
        <v>6382.6559999999999</v>
      </c>
      <c r="O66" s="175"/>
      <c r="P66" s="175"/>
      <c r="Q66" s="175"/>
      <c r="R66" s="175"/>
      <c r="S66" s="175"/>
      <c r="T66" s="175"/>
      <c r="U66" s="175"/>
      <c r="V66" s="175"/>
      <c r="W66" s="175"/>
      <c r="X66" s="175"/>
      <c r="Y66" s="175"/>
      <c r="Z66" s="176"/>
      <c r="AA66" s="176"/>
      <c r="AB66" s="176"/>
      <c r="AC66" s="176"/>
      <c r="AD66" s="176"/>
      <c r="AE66" s="160"/>
      <c r="AF66" s="160"/>
      <c r="AG66" s="160"/>
      <c r="AH66" s="160"/>
      <c r="AI66" s="160"/>
      <c r="AJ66" s="160"/>
      <c r="AK66" s="160"/>
      <c r="AL66" s="160"/>
      <c r="AM66" s="160"/>
      <c r="AN66" s="160"/>
      <c r="AO66" s="160"/>
      <c r="AP66" s="152"/>
      <c r="AQ66" s="152"/>
      <c r="AR66" s="160"/>
      <c r="AS66" s="160"/>
      <c r="AT66" s="160"/>
      <c r="AU66" s="160"/>
      <c r="AV66" s="160"/>
      <c r="AW66" s="160"/>
      <c r="AX66" s="160"/>
      <c r="AY66" s="160"/>
      <c r="AZ66" s="160"/>
      <c r="BA66" s="160"/>
      <c r="BB66" s="160"/>
      <c r="BC66" s="179"/>
    </row>
    <row r="67" spans="1:55" x14ac:dyDescent="0.25">
      <c r="A67" s="38" t="s">
        <v>167</v>
      </c>
      <c r="C67" s="175"/>
      <c r="D67" s="175"/>
      <c r="E67" s="175"/>
      <c r="F67" s="175"/>
      <c r="G67" s="152">
        <f t="shared" ref="G67:BB67" si="120">G28*AVERAGE(G12,F12)*3/1000</f>
        <v>4042.5</v>
      </c>
      <c r="H67" s="152">
        <f t="shared" si="120"/>
        <v>3797.9445000000001</v>
      </c>
      <c r="I67" s="152">
        <f t="shared" si="120"/>
        <v>3539.5079999999998</v>
      </c>
      <c r="J67" s="152">
        <f t="shared" si="120"/>
        <v>3399.9614999999999</v>
      </c>
      <c r="K67" s="152">
        <f t="shared" si="120"/>
        <v>3321.5819999999999</v>
      </c>
      <c r="L67" s="152">
        <f t="shared" si="120"/>
        <v>3400.08</v>
      </c>
      <c r="M67" s="152">
        <f t="shared" si="120"/>
        <v>3561.1695</v>
      </c>
      <c r="N67" s="152">
        <f t="shared" si="120"/>
        <v>3731.6475</v>
      </c>
      <c r="O67" s="152">
        <f t="shared" si="120"/>
        <v>3704.9670000000001</v>
      </c>
      <c r="P67" s="152">
        <f t="shared" si="120"/>
        <v>3935.895</v>
      </c>
      <c r="Q67" s="152">
        <f t="shared" si="120"/>
        <v>4015.578</v>
      </c>
      <c r="R67" s="152">
        <f t="shared" si="120"/>
        <v>3772.0889999999999</v>
      </c>
      <c r="S67" s="152">
        <f t="shared" si="120"/>
        <v>3985.9290000000001</v>
      </c>
      <c r="T67" s="152">
        <f t="shared" si="120"/>
        <v>4508.1360000000004</v>
      </c>
      <c r="U67" s="152">
        <f t="shared" si="120"/>
        <v>4268.2349999999997</v>
      </c>
      <c r="V67" s="152">
        <f t="shared" si="120"/>
        <v>3735.3150000000001</v>
      </c>
      <c r="W67" s="152">
        <f t="shared" si="120"/>
        <v>3627.12</v>
      </c>
      <c r="X67" s="152">
        <f t="shared" si="120"/>
        <v>3433.4445000000001</v>
      </c>
      <c r="Y67" s="152">
        <f t="shared" si="120"/>
        <v>3373.1460000000002</v>
      </c>
      <c r="Z67" s="160">
        <f t="shared" si="120"/>
        <v>3151.9214999999999</v>
      </c>
      <c r="AA67" s="160">
        <f t="shared" si="120"/>
        <v>3055.3649999999998</v>
      </c>
      <c r="AB67" s="160">
        <f t="shared" si="120"/>
        <v>2970.6239999999998</v>
      </c>
      <c r="AC67" s="160">
        <f t="shared" si="120"/>
        <v>2983.5765000000001</v>
      </c>
      <c r="AD67" s="160">
        <f t="shared" si="120"/>
        <v>2863.875</v>
      </c>
      <c r="AE67" s="160">
        <f t="shared" si="120"/>
        <v>2702.7</v>
      </c>
      <c r="AF67" s="160">
        <f t="shared" si="120"/>
        <v>2683.26</v>
      </c>
      <c r="AG67" s="160">
        <f t="shared" si="120"/>
        <v>2686.32</v>
      </c>
      <c r="AH67" s="160">
        <f t="shared" si="120"/>
        <v>2670.48</v>
      </c>
      <c r="AI67" s="160">
        <f t="shared" si="120"/>
        <v>2657.34</v>
      </c>
      <c r="AJ67" s="160">
        <f t="shared" si="120"/>
        <v>2739.24</v>
      </c>
      <c r="AK67" s="160">
        <f t="shared" si="120"/>
        <v>2695.86</v>
      </c>
      <c r="AL67" s="160">
        <f t="shared" si="120"/>
        <v>2581.1999999999998</v>
      </c>
      <c r="AM67" s="160">
        <f t="shared" si="120"/>
        <v>2620.44</v>
      </c>
      <c r="AN67" s="160">
        <f t="shared" si="120"/>
        <v>2650.5</v>
      </c>
      <c r="AO67" s="160">
        <f t="shared" si="120"/>
        <v>2644.92</v>
      </c>
      <c r="AP67" s="160">
        <f t="shared" si="120"/>
        <v>2644.74</v>
      </c>
      <c r="AQ67" s="160">
        <f t="shared" si="120"/>
        <v>2601.1799999999998</v>
      </c>
      <c r="AR67" s="160">
        <f t="shared" si="120"/>
        <v>2563.38</v>
      </c>
      <c r="AS67" s="160">
        <f t="shared" si="120"/>
        <v>2580.66</v>
      </c>
      <c r="AT67" s="160">
        <f t="shared" si="120"/>
        <v>2580.3000000000002</v>
      </c>
      <c r="AU67" s="160">
        <f t="shared" si="120"/>
        <v>2569.14</v>
      </c>
      <c r="AV67" s="160">
        <f t="shared" si="120"/>
        <v>2548.44</v>
      </c>
      <c r="AW67" s="160">
        <f t="shared" si="120"/>
        <v>2559.06</v>
      </c>
      <c r="AX67" s="160">
        <f t="shared" si="120"/>
        <v>2659.32</v>
      </c>
      <c r="AY67" s="160">
        <f t="shared" si="120"/>
        <v>2697.48</v>
      </c>
      <c r="AZ67" s="160">
        <f t="shared" si="120"/>
        <v>2680.92</v>
      </c>
      <c r="BA67" s="160">
        <f t="shared" si="120"/>
        <v>2698.38</v>
      </c>
      <c r="BB67" s="160">
        <f t="shared" si="120"/>
        <v>2687.76</v>
      </c>
      <c r="BC67" s="179"/>
    </row>
    <row r="68" spans="1:55" x14ac:dyDescent="0.25">
      <c r="C68" s="179"/>
      <c r="D68" s="179"/>
      <c r="E68" s="179"/>
      <c r="F68" s="179"/>
      <c r="G68" s="179"/>
      <c r="H68" s="179"/>
      <c r="I68" s="179"/>
      <c r="J68" s="179"/>
      <c r="K68" s="179"/>
      <c r="L68" s="179"/>
      <c r="M68" s="179"/>
      <c r="N68" s="179"/>
      <c r="O68" s="179"/>
      <c r="P68" s="179"/>
      <c r="Q68" s="179"/>
      <c r="R68" s="179"/>
      <c r="S68" s="179"/>
      <c r="T68" s="179"/>
      <c r="U68" s="179"/>
      <c r="V68" s="179"/>
      <c r="W68" s="179"/>
      <c r="X68" s="179"/>
      <c r="Y68" s="179"/>
      <c r="Z68" s="180"/>
      <c r="AA68" s="180"/>
      <c r="AB68" s="180"/>
      <c r="AC68" s="180"/>
      <c r="AD68" s="180"/>
      <c r="AE68" s="149"/>
      <c r="AF68" s="149"/>
      <c r="AG68" s="149"/>
      <c r="AH68" s="149"/>
      <c r="AI68" s="149"/>
      <c r="AJ68" s="149"/>
      <c r="AK68" s="149"/>
      <c r="AL68" s="149"/>
      <c r="AM68" s="149"/>
      <c r="AN68" s="149"/>
      <c r="AO68" s="149"/>
      <c r="AP68" s="150"/>
      <c r="AQ68" s="150"/>
      <c r="AR68" s="149"/>
      <c r="AS68" s="149"/>
      <c r="AT68" s="149"/>
      <c r="AU68" s="149"/>
      <c r="AV68" s="149"/>
      <c r="AW68" s="149"/>
      <c r="AX68" s="149"/>
      <c r="AY68" s="149"/>
      <c r="AZ68" s="149"/>
      <c r="BA68" s="149"/>
      <c r="BB68" s="149"/>
      <c r="BC68" s="179"/>
    </row>
    <row r="69" spans="1:55" x14ac:dyDescent="0.25">
      <c r="A69" s="38" t="s">
        <v>95</v>
      </c>
      <c r="C69" s="179"/>
      <c r="D69" s="179"/>
      <c r="E69" s="179"/>
      <c r="F69" s="179"/>
      <c r="G69" s="150">
        <f t="shared" ref="G69:N69" si="121">G31/C31-1</f>
        <v>-3.1068932533414584E-2</v>
      </c>
      <c r="H69" s="150">
        <f t="shared" si="121"/>
        <v>-3.6360945943795353E-2</v>
      </c>
      <c r="I69" s="150">
        <f t="shared" si="121"/>
        <v>8.0885530052774435E-3</v>
      </c>
      <c r="J69" s="150">
        <f t="shared" si="121"/>
        <v>2.2502104202792639E-2</v>
      </c>
      <c r="K69" s="150">
        <f t="shared" si="121"/>
        <v>5.7929781947773984E-2</v>
      </c>
      <c r="L69" s="150">
        <f t="shared" si="121"/>
        <v>7.4784323941091913E-2</v>
      </c>
      <c r="M69" s="150">
        <f t="shared" si="121"/>
        <v>3.6329124516721656E-2</v>
      </c>
      <c r="N69" s="150">
        <f t="shared" si="121"/>
        <v>3.2556166821322563E-3</v>
      </c>
      <c r="O69" s="179"/>
      <c r="P69" s="179"/>
      <c r="Q69" s="179"/>
      <c r="R69" s="179"/>
      <c r="S69" s="179"/>
      <c r="T69" s="179"/>
      <c r="U69" s="179"/>
      <c r="V69" s="180"/>
      <c r="W69" s="180"/>
      <c r="X69" s="180"/>
      <c r="Y69" s="180"/>
      <c r="Z69" s="180"/>
      <c r="AA69" s="180"/>
      <c r="AB69" s="180"/>
      <c r="AC69" s="180"/>
      <c r="AD69" s="180"/>
      <c r="AE69" s="149"/>
      <c r="AF69" s="149"/>
      <c r="AG69" s="149"/>
      <c r="AH69" s="149"/>
      <c r="AI69" s="149"/>
      <c r="AJ69" s="149"/>
      <c r="AK69" s="149"/>
      <c r="AL69" s="149"/>
      <c r="AM69" s="149"/>
      <c r="AN69" s="149"/>
      <c r="AO69" s="149"/>
      <c r="AP69" s="149"/>
      <c r="AQ69" s="149"/>
      <c r="AR69" s="149"/>
      <c r="AS69" s="149"/>
      <c r="AT69" s="149"/>
      <c r="AU69" s="149"/>
      <c r="AV69" s="149"/>
      <c r="AW69" s="149"/>
      <c r="AX69" s="149"/>
      <c r="AY69" s="149"/>
      <c r="AZ69" s="149"/>
      <c r="BA69" s="149"/>
      <c r="BB69" s="149"/>
      <c r="BC69" s="179"/>
    </row>
    <row r="70" spans="1:55" x14ac:dyDescent="0.25">
      <c r="A70" s="38" t="s">
        <v>96</v>
      </c>
      <c r="C70" s="179"/>
      <c r="D70" s="150">
        <f t="shared" ref="D70:N70" si="122">D31/C31-1</f>
        <v>1.8327965857618533E-3</v>
      </c>
      <c r="E70" s="150">
        <f t="shared" si="122"/>
        <v>6.8472904479532914E-4</v>
      </c>
      <c r="F70" s="150">
        <f t="shared" si="122"/>
        <v>3.3108660975804671E-3</v>
      </c>
      <c r="G70" s="150">
        <f t="shared" si="122"/>
        <v>-3.6692707064200358E-2</v>
      </c>
      <c r="H70" s="150">
        <f t="shared" si="122"/>
        <v>-3.6389162868094571E-3</v>
      </c>
      <c r="I70" s="150">
        <f t="shared" si="122"/>
        <v>4.6843023091515779E-2</v>
      </c>
      <c r="J70" s="150">
        <f t="shared" si="122"/>
        <v>1.7656106396569671E-2</v>
      </c>
      <c r="K70" s="150">
        <f t="shared" si="122"/>
        <v>-3.3160125779547744E-3</v>
      </c>
      <c r="L70" s="150">
        <f t="shared" si="122"/>
        <v>1.2234736211216735E-2</v>
      </c>
      <c r="M70" s="150">
        <f t="shared" si="122"/>
        <v>9.3875482373799723E-3</v>
      </c>
      <c r="N70" s="150">
        <f t="shared" si="122"/>
        <v>-1.4821468933102211E-2</v>
      </c>
      <c r="O70" s="179"/>
      <c r="P70" s="179"/>
      <c r="Q70" s="179"/>
      <c r="R70" s="179"/>
      <c r="S70" s="179"/>
      <c r="T70" s="179"/>
      <c r="U70" s="179"/>
      <c r="V70" s="180"/>
      <c r="W70" s="180"/>
      <c r="X70" s="180"/>
      <c r="Y70" s="180"/>
      <c r="Z70" s="180"/>
      <c r="AA70" s="180"/>
      <c r="AB70" s="180"/>
      <c r="AC70" s="180"/>
      <c r="AD70" s="180"/>
      <c r="AE70" s="149"/>
      <c r="AF70" s="149"/>
      <c r="AG70" s="149"/>
      <c r="AH70" s="149"/>
      <c r="AI70" s="149"/>
      <c r="AJ70" s="149"/>
      <c r="AK70" s="149"/>
      <c r="AL70" s="149"/>
      <c r="AM70" s="149"/>
      <c r="AN70" s="149"/>
      <c r="AO70" s="149"/>
      <c r="AP70" s="149"/>
      <c r="AQ70" s="149"/>
      <c r="AR70" s="149"/>
      <c r="AS70" s="149"/>
      <c r="AT70" s="149"/>
      <c r="AU70" s="149"/>
      <c r="AV70" s="149"/>
      <c r="AW70" s="149"/>
      <c r="AX70" s="149"/>
      <c r="AY70" s="149"/>
      <c r="AZ70" s="149"/>
      <c r="BA70" s="149"/>
      <c r="BB70" s="149"/>
      <c r="BC70" s="179"/>
    </row>
    <row r="71" spans="1:55" x14ac:dyDescent="0.25">
      <c r="C71" s="179"/>
      <c r="D71" s="179"/>
      <c r="E71" s="179"/>
      <c r="F71" s="179"/>
      <c r="G71" s="179"/>
      <c r="H71" s="179"/>
      <c r="I71" s="179"/>
      <c r="J71" s="179"/>
      <c r="K71" s="179"/>
      <c r="L71" s="179"/>
      <c r="M71" s="179"/>
      <c r="N71" s="179"/>
      <c r="O71" s="179"/>
      <c r="P71" s="179"/>
      <c r="Q71" s="179"/>
      <c r="R71" s="179"/>
      <c r="S71" s="179"/>
      <c r="T71" s="179"/>
      <c r="U71" s="179"/>
      <c r="V71" s="180"/>
      <c r="W71" s="180"/>
      <c r="X71" s="180"/>
      <c r="Y71" s="180"/>
      <c r="Z71" s="180"/>
      <c r="AA71" s="180"/>
      <c r="AB71" s="180"/>
      <c r="AC71" s="180"/>
      <c r="AD71" s="180"/>
      <c r="AE71" s="149"/>
      <c r="AF71" s="149"/>
      <c r="AG71" s="149"/>
      <c r="AH71" s="149"/>
      <c r="AI71" s="149"/>
      <c r="AJ71" s="149"/>
      <c r="AK71" s="149"/>
      <c r="AL71" s="149"/>
      <c r="AM71" s="149"/>
      <c r="AN71" s="149"/>
      <c r="AO71" s="149"/>
      <c r="AP71" s="149"/>
      <c r="AQ71" s="149"/>
      <c r="AR71" s="149"/>
      <c r="AS71" s="149"/>
      <c r="AT71" s="149"/>
      <c r="AU71" s="149"/>
      <c r="AV71" s="149"/>
      <c r="AW71" s="149"/>
      <c r="AX71" s="149"/>
      <c r="AY71" s="149"/>
      <c r="AZ71" s="149"/>
      <c r="BA71" s="149"/>
      <c r="BB71" s="149"/>
      <c r="BC71" s="179"/>
    </row>
    <row r="72" spans="1:55" x14ac:dyDescent="0.25">
      <c r="A72" s="38" t="s">
        <v>46</v>
      </c>
      <c r="D72" s="179"/>
      <c r="E72" s="179"/>
      <c r="F72" s="179"/>
      <c r="G72" s="150">
        <f>G66/C66-1</f>
        <v>-6.697242020452443E-2</v>
      </c>
      <c r="H72" s="150">
        <f>H66/D66-1</f>
        <v>-9.7225915423116871E-2</v>
      </c>
      <c r="I72" s="150">
        <f t="shared" ref="I72:N72" si="123">I66/E66-1</f>
        <v>-6.6866466116655254E-2</v>
      </c>
      <c r="J72" s="150">
        <f t="shared" si="123"/>
        <v>-0.12480574633959596</v>
      </c>
      <c r="K72" s="150">
        <f t="shared" si="123"/>
        <v>-0.130657260778687</v>
      </c>
      <c r="L72" s="150">
        <f t="shared" si="123"/>
        <v>-7.8711192647784367E-2</v>
      </c>
      <c r="M72" s="150">
        <f t="shared" si="123"/>
        <v>-1.1948868744869334E-2</v>
      </c>
      <c r="N72" s="150">
        <f t="shared" si="123"/>
        <v>5.1569902358375108E-2</v>
      </c>
      <c r="O72" s="179"/>
      <c r="P72" s="179"/>
      <c r="Q72" s="179"/>
      <c r="R72" s="179"/>
      <c r="S72" s="179"/>
      <c r="T72" s="179"/>
      <c r="U72" s="179"/>
      <c r="V72" s="180"/>
      <c r="W72" s="180"/>
      <c r="X72" s="180"/>
      <c r="Y72" s="180"/>
      <c r="Z72" s="180"/>
      <c r="AA72" s="180"/>
      <c r="AB72" s="180"/>
      <c r="AC72" s="180"/>
      <c r="AD72" s="180"/>
      <c r="AE72" s="149"/>
      <c r="AF72" s="149"/>
      <c r="AG72" s="149"/>
      <c r="AH72" s="149"/>
      <c r="AI72" s="149"/>
      <c r="AJ72" s="149"/>
      <c r="AK72" s="149"/>
      <c r="AL72" s="149"/>
      <c r="AM72" s="149"/>
      <c r="AN72" s="149"/>
      <c r="AO72" s="149"/>
      <c r="AP72" s="149"/>
      <c r="AQ72" s="149"/>
      <c r="AR72" s="149"/>
      <c r="AS72" s="149"/>
      <c r="AT72" s="149"/>
      <c r="AU72" s="149"/>
      <c r="AV72" s="149"/>
      <c r="AW72" s="149"/>
      <c r="AX72" s="149"/>
      <c r="AY72" s="149"/>
      <c r="AZ72" s="149"/>
      <c r="BA72" s="149"/>
      <c r="BB72" s="149"/>
    </row>
    <row r="73" spans="1:55" x14ac:dyDescent="0.25">
      <c r="A73" s="38" t="s">
        <v>86</v>
      </c>
      <c r="C73" s="179"/>
      <c r="D73" s="179"/>
      <c r="E73" s="179"/>
      <c r="F73" s="179"/>
      <c r="G73" s="150">
        <f t="shared" ref="G73:N73" si="124">G29/C29-1</f>
        <v>-8.5714285714285743E-2</v>
      </c>
      <c r="H73" s="150">
        <f t="shared" si="124"/>
        <v>-0.10857142857142854</v>
      </c>
      <c r="I73" s="150">
        <f t="shared" si="124"/>
        <v>-4.3749999999999956E-2</v>
      </c>
      <c r="J73" s="150">
        <f t="shared" si="124"/>
        <v>-6.0606060606060552E-2</v>
      </c>
      <c r="K73" s="150">
        <f t="shared" si="124"/>
        <v>-3.7499999999999978E-2</v>
      </c>
      <c r="L73" s="150">
        <f t="shared" si="124"/>
        <v>3.2051282051282159E-2</v>
      </c>
      <c r="M73" s="150">
        <f t="shared" si="124"/>
        <v>7.8431372549019551E-2</v>
      </c>
      <c r="N73" s="150">
        <f t="shared" si="124"/>
        <v>8.3870967741935587E-2</v>
      </c>
      <c r="O73" s="179"/>
      <c r="P73" s="179"/>
      <c r="Q73" s="179"/>
      <c r="R73" s="179"/>
      <c r="S73" s="179"/>
      <c r="T73" s="179"/>
      <c r="U73" s="179"/>
      <c r="V73" s="180"/>
      <c r="W73" s="180"/>
      <c r="X73" s="180"/>
      <c r="Y73" s="180"/>
      <c r="Z73" s="180"/>
      <c r="AA73" s="180"/>
      <c r="AB73" s="180"/>
      <c r="AC73" s="180"/>
      <c r="AD73" s="180"/>
      <c r="AE73" s="149"/>
      <c r="AF73" s="149"/>
      <c r="AG73" s="149"/>
      <c r="AH73" s="149"/>
      <c r="AI73" s="149"/>
      <c r="AJ73" s="149"/>
      <c r="AK73" s="149"/>
      <c r="AL73" s="149"/>
      <c r="AM73" s="149"/>
      <c r="AN73" s="149"/>
      <c r="AO73" s="149"/>
      <c r="AP73" s="149"/>
      <c r="AQ73" s="149"/>
      <c r="AR73" s="149"/>
      <c r="AS73" s="149"/>
      <c r="AT73" s="149"/>
      <c r="AU73" s="149"/>
      <c r="AV73" s="149"/>
      <c r="AW73" s="149"/>
      <c r="AX73" s="149"/>
      <c r="AY73" s="149"/>
      <c r="AZ73" s="149"/>
      <c r="BA73" s="149"/>
      <c r="BB73" s="149"/>
      <c r="BC73" s="179"/>
    </row>
    <row r="74" spans="1:55" x14ac:dyDescent="0.25">
      <c r="A74" s="38" t="s">
        <v>168</v>
      </c>
      <c r="C74" s="179"/>
      <c r="D74" s="179"/>
      <c r="E74" s="179"/>
      <c r="F74" s="179"/>
      <c r="G74" s="179"/>
      <c r="H74" s="179"/>
      <c r="I74" s="179"/>
      <c r="J74" s="179"/>
      <c r="K74" s="149">
        <f t="shared" ref="K74" si="125">K67/G67-1</f>
        <v>-0.17833469387755108</v>
      </c>
      <c r="L74" s="149">
        <f t="shared" ref="L74" si="126">L67/H67-1</f>
        <v>-0.10475784993698567</v>
      </c>
      <c r="M74" s="149">
        <f t="shared" ref="M74" si="127">M67/I67-1</f>
        <v>6.1199183615350261E-3</v>
      </c>
      <c r="N74" s="149">
        <f t="shared" ref="N74" si="128">N67/J67-1</f>
        <v>9.755581055844309E-2</v>
      </c>
      <c r="O74" s="149">
        <f t="shared" ref="O74" si="129">O67/K67-1</f>
        <v>0.11542241016479493</v>
      </c>
      <c r="P74" s="149">
        <f t="shared" ref="P74" si="130">P67/L67-1</f>
        <v>0.15758893908378635</v>
      </c>
      <c r="Q74" s="149">
        <f t="shared" ref="Q74" si="131">Q67/M67-1</f>
        <v>0.1276009187431264</v>
      </c>
      <c r="R74" s="149">
        <f t="shared" ref="R74" si="132">R67/N67-1</f>
        <v>1.0837438423645374E-2</v>
      </c>
      <c r="S74" s="149">
        <f t="shared" ref="S74" si="133">S67/O67-1</f>
        <v>7.5833873823977438E-2</v>
      </c>
      <c r="T74" s="149">
        <f t="shared" ref="T74:W74" si="134">T67/P67-1</f>
        <v>0.145390311479346</v>
      </c>
      <c r="U74" s="149">
        <f t="shared" si="134"/>
        <v>6.2919211132245412E-2</v>
      </c>
      <c r="V74" s="149">
        <f t="shared" si="134"/>
        <v>-9.7489746397817489E-3</v>
      </c>
      <c r="W74" s="149">
        <f t="shared" si="134"/>
        <v>-9.0018914034846076E-2</v>
      </c>
      <c r="X74" s="149">
        <f t="shared" ref="X74:AH74" si="135">X67/T67-1</f>
        <v>-0.23838932543295066</v>
      </c>
      <c r="Y74" s="149">
        <f t="shared" si="135"/>
        <v>-0.20970939978703129</v>
      </c>
      <c r="Z74" s="149">
        <f t="shared" si="135"/>
        <v>-0.15618321346392472</v>
      </c>
      <c r="AA74" s="149">
        <f t="shared" si="135"/>
        <v>-0.15763332892212001</v>
      </c>
      <c r="AB74" s="149">
        <f t="shared" si="135"/>
        <v>-0.13479772281159641</v>
      </c>
      <c r="AC74" s="149">
        <f t="shared" si="135"/>
        <v>-0.11549144329951921</v>
      </c>
      <c r="AD74" s="149">
        <f t="shared" si="135"/>
        <v>-9.1387586905321117E-2</v>
      </c>
      <c r="AE74" s="149">
        <f t="shared" si="135"/>
        <v>-0.11542483467605347</v>
      </c>
      <c r="AF74" s="149">
        <f t="shared" si="135"/>
        <v>-9.6735231385728926E-2</v>
      </c>
      <c r="AG74" s="149">
        <f t="shared" si="135"/>
        <v>-9.9630929523677358E-2</v>
      </c>
      <c r="AH74" s="149">
        <f t="shared" si="135"/>
        <v>-6.7529134476888797E-2</v>
      </c>
      <c r="AI74" s="149">
        <f t="shared" ref="AI74:BB74" si="136">AI67/AE67-1</f>
        <v>-1.6783216783216703E-2</v>
      </c>
      <c r="AJ74" s="149">
        <f t="shared" si="136"/>
        <v>2.0862681961494545E-2</v>
      </c>
      <c r="AK74" s="149">
        <f t="shared" si="136"/>
        <v>3.5513267220583788E-3</v>
      </c>
      <c r="AL74" s="149">
        <f t="shared" si="136"/>
        <v>-3.3432191965489411E-2</v>
      </c>
      <c r="AM74" s="149">
        <f t="shared" si="136"/>
        <v>-1.3886066517645457E-2</v>
      </c>
      <c r="AN74" s="149">
        <f t="shared" si="136"/>
        <v>-3.2395847023261815E-2</v>
      </c>
      <c r="AO74" s="149">
        <f t="shared" si="136"/>
        <v>-1.8895639981304724E-2</v>
      </c>
      <c r="AP74" s="149">
        <f t="shared" si="136"/>
        <v>2.4616457461645647E-2</v>
      </c>
      <c r="AQ74" s="149">
        <f t="shared" si="136"/>
        <v>-7.3499107020196242E-3</v>
      </c>
      <c r="AR74" s="149">
        <f t="shared" si="136"/>
        <v>-3.2869269949066138E-2</v>
      </c>
      <c r="AS74" s="149">
        <f t="shared" si="136"/>
        <v>-2.4295630869742846E-2</v>
      </c>
      <c r="AT74" s="149">
        <f t="shared" si="136"/>
        <v>-2.4365344041380133E-2</v>
      </c>
      <c r="AU74" s="149">
        <f t="shared" si="136"/>
        <v>-1.231748667912258E-2</v>
      </c>
      <c r="AV74" s="149">
        <f t="shared" si="136"/>
        <v>-5.828242398707939E-3</v>
      </c>
      <c r="AW74" s="149">
        <f t="shared" si="136"/>
        <v>-8.3699518727766709E-3</v>
      </c>
      <c r="AX74" s="149">
        <f t="shared" si="136"/>
        <v>3.062434600627828E-2</v>
      </c>
      <c r="AY74" s="149">
        <f t="shared" si="136"/>
        <v>4.9954459468927404E-2</v>
      </c>
      <c r="AZ74" s="149">
        <f t="shared" si="136"/>
        <v>5.1984743607854211E-2</v>
      </c>
      <c r="BA74" s="149">
        <f t="shared" si="136"/>
        <v>5.4441865372441445E-2</v>
      </c>
      <c r="BB74" s="149">
        <f t="shared" si="136"/>
        <v>1.0694463246243346E-2</v>
      </c>
      <c r="BC74" s="179"/>
    </row>
    <row r="75" spans="1:55" x14ac:dyDescent="0.25">
      <c r="A75" s="38" t="s">
        <v>14</v>
      </c>
      <c r="C75" s="179"/>
      <c r="D75" s="179"/>
      <c r="E75" s="179"/>
      <c r="F75" s="179"/>
      <c r="G75" s="150">
        <f t="shared" ref="G75:N75" si="137">G32/C32-1</f>
        <v>5.9768355041577736E-2</v>
      </c>
      <c r="H75" s="150">
        <f t="shared" si="137"/>
        <v>8.1005349101511692E-2</v>
      </c>
      <c r="I75" s="150">
        <f t="shared" si="137"/>
        <v>5.4210251508786778E-2</v>
      </c>
      <c r="J75" s="150">
        <f t="shared" si="137"/>
        <v>8.8469981893295468E-2</v>
      </c>
      <c r="K75" s="150">
        <f t="shared" si="137"/>
        <v>9.9147825400284662E-2</v>
      </c>
      <c r="L75" s="150">
        <f t="shared" si="137"/>
        <v>4.1405928787641821E-2</v>
      </c>
      <c r="M75" s="150">
        <f t="shared" si="137"/>
        <v>-3.9040266357221576E-2</v>
      </c>
      <c r="N75" s="150">
        <f t="shared" si="137"/>
        <v>-7.437725841827092E-2</v>
      </c>
      <c r="O75" s="179"/>
      <c r="P75" s="179"/>
      <c r="Q75" s="179"/>
      <c r="R75" s="179"/>
      <c r="S75" s="179"/>
      <c r="T75" s="179"/>
      <c r="U75" s="179"/>
      <c r="V75" s="180"/>
      <c r="W75" s="180"/>
      <c r="X75" s="180"/>
      <c r="Y75" s="180"/>
      <c r="Z75" s="180"/>
      <c r="AA75" s="180"/>
      <c r="AB75" s="180"/>
      <c r="AC75" s="180"/>
      <c r="AD75" s="180"/>
      <c r="AE75" s="149"/>
      <c r="AF75" s="149"/>
      <c r="AG75" s="149"/>
      <c r="AH75" s="149"/>
      <c r="AI75" s="149"/>
      <c r="AJ75" s="149"/>
      <c r="AK75" s="149"/>
      <c r="AL75" s="149"/>
      <c r="AM75" s="149"/>
      <c r="AN75" s="149"/>
      <c r="AO75" s="149"/>
      <c r="AP75" s="149"/>
      <c r="AQ75" s="149"/>
      <c r="AR75" s="149"/>
      <c r="AS75" s="149"/>
      <c r="AT75" s="149"/>
      <c r="AU75" s="149"/>
      <c r="AV75" s="149"/>
      <c r="AW75" s="149"/>
      <c r="AX75" s="149"/>
      <c r="AY75" s="149"/>
      <c r="AZ75" s="149"/>
      <c r="BA75" s="149"/>
      <c r="BB75" s="149"/>
      <c r="BC75" s="179"/>
    </row>
    <row r="76" spans="1:55" x14ac:dyDescent="0.25">
      <c r="A76" s="38" t="s">
        <v>15</v>
      </c>
      <c r="C76" s="179"/>
      <c r="D76" s="150">
        <f t="shared" ref="D76:N76" si="138">D32/C32-1</f>
        <v>1.8327965857618533E-3</v>
      </c>
      <c r="E76" s="150">
        <f t="shared" si="138"/>
        <v>9.4498922392744822E-2</v>
      </c>
      <c r="F76" s="150">
        <f t="shared" si="138"/>
        <v>-2.7092493481134072E-2</v>
      </c>
      <c r="G76" s="150">
        <f t="shared" si="138"/>
        <v>-6.5893541599566507E-3</v>
      </c>
      <c r="H76" s="150">
        <f t="shared" si="138"/>
        <v>2.1908803808400545E-2</v>
      </c>
      <c r="I76" s="150">
        <f t="shared" si="138"/>
        <v>6.7369356877623687E-2</v>
      </c>
      <c r="J76" s="150">
        <f t="shared" si="138"/>
        <v>4.5250598624204663E-3</v>
      </c>
      <c r="K76" s="150">
        <f t="shared" si="138"/>
        <v>3.1559613663441066E-3</v>
      </c>
      <c r="L76" s="150">
        <f t="shared" si="138"/>
        <v>-3.1775469711009974E-2</v>
      </c>
      <c r="M76" s="150">
        <f t="shared" si="138"/>
        <v>-1.5082452932010937E-2</v>
      </c>
      <c r="N76" s="150">
        <f t="shared" si="138"/>
        <v>-3.2413942702154031E-2</v>
      </c>
      <c r="O76" s="179"/>
      <c r="P76" s="179"/>
      <c r="Q76" s="179"/>
      <c r="R76" s="179"/>
      <c r="S76" s="179"/>
      <c r="T76" s="179"/>
      <c r="U76" s="179"/>
      <c r="V76" s="180"/>
      <c r="W76" s="180"/>
      <c r="X76" s="180"/>
      <c r="Y76" s="180"/>
      <c r="Z76" s="180"/>
      <c r="AA76" s="180"/>
      <c r="AB76" s="180"/>
      <c r="AC76" s="180"/>
      <c r="AD76" s="180"/>
      <c r="AE76" s="149"/>
      <c r="AF76" s="149"/>
      <c r="AG76" s="149"/>
      <c r="AH76" s="149"/>
      <c r="AI76" s="149"/>
      <c r="AJ76" s="149"/>
      <c r="AK76" s="149"/>
      <c r="AL76" s="149"/>
      <c r="AM76" s="149"/>
      <c r="AN76" s="149"/>
      <c r="AO76" s="149"/>
      <c r="AP76" s="149"/>
      <c r="AQ76" s="149"/>
      <c r="AR76" s="149"/>
      <c r="AS76" s="149"/>
      <c r="AT76" s="149"/>
      <c r="AU76" s="149"/>
      <c r="AV76" s="149"/>
      <c r="AW76" s="149"/>
      <c r="AX76" s="149"/>
      <c r="AY76" s="149"/>
      <c r="AZ76" s="149"/>
      <c r="BA76" s="149"/>
      <c r="BB76" s="149"/>
      <c r="BC76" s="179"/>
    </row>
    <row r="77" spans="1:55" x14ac:dyDescent="0.25">
      <c r="C77" s="179"/>
      <c r="D77" s="179"/>
      <c r="E77" s="179"/>
      <c r="F77" s="179"/>
      <c r="G77" s="179"/>
      <c r="H77" s="179"/>
      <c r="I77" s="179"/>
      <c r="J77" s="179"/>
      <c r="K77" s="179"/>
      <c r="L77" s="179"/>
      <c r="M77" s="179"/>
      <c r="N77" s="179"/>
      <c r="O77" s="179"/>
      <c r="P77" s="179"/>
      <c r="Q77" s="179"/>
      <c r="R77" s="179"/>
      <c r="S77" s="179"/>
      <c r="T77" s="179"/>
      <c r="U77" s="179"/>
      <c r="V77" s="180"/>
      <c r="W77" s="180"/>
      <c r="X77" s="180"/>
      <c r="Y77" s="180"/>
      <c r="Z77" s="180"/>
      <c r="AA77" s="180"/>
      <c r="AB77" s="180"/>
      <c r="AC77" s="180"/>
      <c r="AD77" s="180"/>
      <c r="AE77" s="149"/>
      <c r="AF77" s="149"/>
      <c r="AG77" s="149"/>
      <c r="AH77" s="149"/>
      <c r="AI77" s="149"/>
      <c r="AJ77" s="149"/>
      <c r="AK77" s="149"/>
      <c r="AL77" s="149"/>
      <c r="AM77" s="149"/>
      <c r="AN77" s="149"/>
      <c r="AO77" s="149"/>
      <c r="AP77" s="149"/>
      <c r="AQ77" s="149"/>
      <c r="AR77" s="149"/>
      <c r="AS77" s="149"/>
      <c r="AT77" s="149"/>
      <c r="AU77" s="149"/>
      <c r="AV77" s="149"/>
      <c r="AW77" s="149"/>
      <c r="AX77" s="149"/>
      <c r="AY77" s="149"/>
      <c r="AZ77" s="149"/>
      <c r="BA77" s="149"/>
      <c r="BB77" s="149"/>
      <c r="BC77" s="179"/>
    </row>
    <row r="78" spans="1:55" s="111" customFormat="1" x14ac:dyDescent="0.25">
      <c r="A78" s="111" t="s">
        <v>16</v>
      </c>
      <c r="C78" s="173"/>
      <c r="D78" s="173"/>
      <c r="E78" s="173"/>
      <c r="F78" s="173"/>
      <c r="G78" s="173"/>
      <c r="H78" s="173"/>
      <c r="I78" s="173"/>
      <c r="J78" s="173"/>
      <c r="K78" s="173"/>
      <c r="L78" s="173"/>
      <c r="M78" s="173"/>
      <c r="N78" s="173"/>
      <c r="O78" s="173"/>
      <c r="P78" s="173"/>
      <c r="Q78" s="173"/>
      <c r="R78" s="173"/>
      <c r="S78" s="173"/>
      <c r="T78" s="173"/>
      <c r="U78" s="173"/>
      <c r="V78" s="173"/>
      <c r="W78" s="173"/>
      <c r="X78" s="173"/>
      <c r="Y78" s="173"/>
      <c r="Z78" s="173"/>
      <c r="AA78" s="173"/>
      <c r="AB78" s="173"/>
      <c r="AC78" s="173"/>
      <c r="AD78" s="173"/>
      <c r="AE78" s="174"/>
      <c r="AF78" s="174"/>
      <c r="AG78" s="174"/>
      <c r="AH78" s="174"/>
      <c r="AI78" s="174"/>
      <c r="AJ78" s="174"/>
      <c r="AK78" s="174"/>
      <c r="AL78" s="174"/>
      <c r="AM78" s="174"/>
      <c r="AN78" s="174"/>
      <c r="AO78" s="174"/>
      <c r="AP78" s="174"/>
      <c r="AQ78" s="174"/>
      <c r="AR78" s="174"/>
      <c r="AS78" s="174"/>
      <c r="AT78" s="174"/>
      <c r="AU78" s="174"/>
      <c r="AV78" s="174"/>
      <c r="AW78" s="174"/>
      <c r="AX78" s="174"/>
      <c r="AY78" s="174"/>
      <c r="AZ78" s="174"/>
      <c r="BA78" s="174"/>
      <c r="BB78" s="174"/>
      <c r="BC78" s="173"/>
    </row>
    <row r="79" spans="1:55" x14ac:dyDescent="0.25">
      <c r="A79" s="38" t="s">
        <v>92</v>
      </c>
      <c r="C79" s="179"/>
      <c r="D79" s="179"/>
      <c r="E79" s="179"/>
      <c r="F79" s="179"/>
      <c r="G79" s="179"/>
      <c r="H79" s="179"/>
      <c r="I79" s="179"/>
      <c r="J79" s="179"/>
      <c r="K79" s="179"/>
      <c r="L79" s="179"/>
      <c r="M79" s="179"/>
      <c r="N79" s="179"/>
      <c r="O79" s="179"/>
      <c r="P79" s="179"/>
      <c r="Q79" s="179"/>
      <c r="R79" s="179"/>
      <c r="S79" s="179"/>
      <c r="T79" s="180"/>
      <c r="U79" s="180"/>
      <c r="V79" s="149">
        <f t="shared" ref="V79:AQ79" si="139">V10/R10-1</f>
        <v>4.5500400941565822E-2</v>
      </c>
      <c r="W79" s="149">
        <f t="shared" si="139"/>
        <v>0.10520508747893342</v>
      </c>
      <c r="X79" s="149">
        <f t="shared" si="139"/>
        <v>9.6922677961706505E-2</v>
      </c>
      <c r="Y79" s="149">
        <f t="shared" si="139"/>
        <v>1.3470543694340087E-2</v>
      </c>
      <c r="Z79" s="149">
        <f t="shared" si="139"/>
        <v>2.7080643637622526E-3</v>
      </c>
      <c r="AA79" s="149">
        <f t="shared" si="139"/>
        <v>-2.17105118809926E-2</v>
      </c>
      <c r="AB79" s="149">
        <f t="shared" si="139"/>
        <v>-1.0626467993634647E-2</v>
      </c>
      <c r="AC79" s="149">
        <f t="shared" si="139"/>
        <v>3.8653356732933908E-2</v>
      </c>
      <c r="AD79" s="149">
        <f t="shared" si="139"/>
        <v>3.8185113570598617E-2</v>
      </c>
      <c r="AE79" s="149">
        <f t="shared" si="139"/>
        <v>3.7538547799271127E-2</v>
      </c>
      <c r="AF79" s="149">
        <f t="shared" si="139"/>
        <v>3.5850315226566121E-2</v>
      </c>
      <c r="AG79" s="149">
        <f t="shared" si="139"/>
        <v>3.0099836575740113E-2</v>
      </c>
      <c r="AH79" s="149">
        <f t="shared" si="139"/>
        <v>3.1588613406795085E-2</v>
      </c>
      <c r="AI79" s="149">
        <f t="shared" si="139"/>
        <v>3.9963252181901776E-2</v>
      </c>
      <c r="AJ79" s="149">
        <f t="shared" si="139"/>
        <v>6.5177923021060291E-2</v>
      </c>
      <c r="AK79" s="149">
        <f t="shared" si="139"/>
        <v>-3.3174930511968848E-3</v>
      </c>
      <c r="AL79" s="149">
        <f t="shared" si="139"/>
        <v>2.4034181947658606E-3</v>
      </c>
      <c r="AM79" s="149">
        <f t="shared" si="139"/>
        <v>1.7314487632508868E-2</v>
      </c>
      <c r="AN79" s="149">
        <f t="shared" si="139"/>
        <v>-5.3690131242541961E-3</v>
      </c>
      <c r="AO79" s="149">
        <f t="shared" si="139"/>
        <v>4.8128823317740155E-2</v>
      </c>
      <c r="AP79" s="149">
        <f t="shared" si="139"/>
        <v>5.159399698072975E-2</v>
      </c>
      <c r="AQ79" s="149">
        <f t="shared" si="139"/>
        <v>1.0767627648488931E-2</v>
      </c>
      <c r="AR79" s="149"/>
      <c r="AS79" s="149">
        <f>AS10/AO10-1</f>
        <v>-1</v>
      </c>
      <c r="AT79" s="149">
        <f>AT10/AP10-1</f>
        <v>-1</v>
      </c>
      <c r="AU79" s="149">
        <f>AU10/AQ10-1</f>
        <v>-1</v>
      </c>
      <c r="AV79" s="149"/>
      <c r="AW79" s="149"/>
      <c r="AX79" s="149"/>
      <c r="AY79" s="149"/>
      <c r="AZ79" s="149"/>
      <c r="BA79" s="149"/>
      <c r="BB79" s="149"/>
      <c r="BC79" s="179"/>
    </row>
    <row r="80" spans="1:55" x14ac:dyDescent="0.25">
      <c r="C80" s="179"/>
      <c r="D80" s="179"/>
      <c r="E80" s="179"/>
      <c r="F80" s="179"/>
      <c r="G80" s="179"/>
      <c r="H80" s="179"/>
      <c r="I80" s="179"/>
      <c r="J80" s="179"/>
      <c r="K80" s="179"/>
      <c r="L80" s="179"/>
      <c r="M80" s="179"/>
      <c r="N80" s="179"/>
      <c r="O80" s="179"/>
      <c r="P80" s="179"/>
      <c r="Q80" s="179"/>
      <c r="R80" s="179"/>
      <c r="S80" s="179"/>
      <c r="T80" s="179"/>
      <c r="U80" s="179"/>
      <c r="V80" s="180"/>
      <c r="W80" s="180"/>
      <c r="X80" s="180"/>
      <c r="Y80" s="180"/>
      <c r="Z80" s="180"/>
      <c r="AA80" s="180"/>
      <c r="AB80" s="180"/>
      <c r="AC80" s="180"/>
      <c r="AD80" s="180"/>
      <c r="AE80" s="149"/>
      <c r="AF80" s="149"/>
      <c r="AG80" s="149"/>
      <c r="AH80" s="149"/>
      <c r="AI80" s="149"/>
      <c r="AJ80" s="149"/>
      <c r="AK80" s="149"/>
      <c r="AL80" s="149"/>
      <c r="AM80" s="149"/>
      <c r="AN80" s="149"/>
      <c r="AO80" s="149"/>
      <c r="AP80" s="149"/>
      <c r="AQ80" s="149"/>
      <c r="AR80" s="149"/>
      <c r="AS80" s="149"/>
      <c r="AT80" s="149"/>
      <c r="AU80" s="149"/>
      <c r="AV80" s="149"/>
      <c r="AW80" s="149"/>
      <c r="AX80" s="149"/>
      <c r="AY80" s="149"/>
      <c r="AZ80" s="149"/>
      <c r="BA80" s="149"/>
      <c r="BB80" s="149"/>
      <c r="BC80" s="179"/>
    </row>
    <row r="81" spans="1:56" x14ac:dyDescent="0.25">
      <c r="A81" s="38" t="s">
        <v>91</v>
      </c>
      <c r="C81" s="179"/>
      <c r="D81" s="179"/>
      <c r="E81" s="179"/>
      <c r="F81" s="179"/>
      <c r="G81" s="179"/>
      <c r="H81" s="150">
        <f t="shared" ref="H81:N81" si="140">H35/D35-1</f>
        <v>0.16099558769241895</v>
      </c>
      <c r="I81" s="150">
        <f t="shared" si="140"/>
        <v>0.2375539627425558</v>
      </c>
      <c r="J81" s="150">
        <f t="shared" si="140"/>
        <v>0.22269110216208809</v>
      </c>
      <c r="K81" s="150">
        <f t="shared" si="140"/>
        <v>0.24495908059057259</v>
      </c>
      <c r="L81" s="150">
        <f t="shared" si="140"/>
        <v>0.28090439248300303</v>
      </c>
      <c r="M81" s="150">
        <f t="shared" si="140"/>
        <v>0.27050936792022462</v>
      </c>
      <c r="N81" s="150">
        <f t="shared" si="140"/>
        <v>0.2549569495546673</v>
      </c>
      <c r="O81" s="179"/>
      <c r="P81" s="179"/>
      <c r="Q81" s="179"/>
      <c r="R81" s="179"/>
      <c r="S81" s="179"/>
      <c r="T81" s="179"/>
      <c r="U81" s="179"/>
      <c r="V81" s="180"/>
      <c r="W81" s="180"/>
      <c r="X81" s="180"/>
      <c r="Y81" s="180"/>
      <c r="Z81" s="180"/>
      <c r="AA81" s="180"/>
      <c r="AB81" s="180"/>
      <c r="AC81" s="180"/>
      <c r="AD81" s="180"/>
      <c r="AE81" s="149"/>
      <c r="AF81" s="149"/>
      <c r="AG81" s="149"/>
      <c r="AH81" s="149"/>
      <c r="AI81" s="149"/>
      <c r="AJ81" s="149"/>
      <c r="AK81" s="149"/>
      <c r="AL81" s="149"/>
      <c r="AM81" s="149"/>
      <c r="AN81" s="149"/>
      <c r="AO81" s="149"/>
      <c r="AP81" s="149"/>
      <c r="AQ81" s="149"/>
      <c r="AR81" s="149"/>
      <c r="AS81" s="149"/>
      <c r="AT81" s="149"/>
      <c r="AU81" s="149"/>
      <c r="AV81" s="149"/>
      <c r="AW81" s="149"/>
      <c r="AX81" s="149"/>
      <c r="AY81" s="149"/>
      <c r="AZ81" s="149"/>
      <c r="BA81" s="149"/>
      <c r="BB81" s="149"/>
      <c r="BC81" s="179"/>
    </row>
    <row r="82" spans="1:56" x14ac:dyDescent="0.25">
      <c r="A82" s="38" t="s">
        <v>35</v>
      </c>
      <c r="C82" s="179"/>
      <c r="D82" s="179"/>
      <c r="E82" s="150">
        <f t="shared" ref="E82:N82" si="141">E35/D35-1</f>
        <v>-8.3361737002078939E-3</v>
      </c>
      <c r="F82" s="150">
        <f t="shared" si="141"/>
        <v>8.7508609933616865E-2</v>
      </c>
      <c r="G82" s="150">
        <f t="shared" si="141"/>
        <v>5.6503101409226542E-3</v>
      </c>
      <c r="H82" s="150">
        <f t="shared" si="141"/>
        <v>7.0499335207552027E-2</v>
      </c>
      <c r="I82" s="150">
        <f t="shared" si="141"/>
        <v>5.7056125755823084E-2</v>
      </c>
      <c r="J82" s="150">
        <f t="shared" si="141"/>
        <v>7.4447774336855232E-2</v>
      </c>
      <c r="K82" s="150">
        <f t="shared" si="141"/>
        <v>2.3965483428123324E-2</v>
      </c>
      <c r="L82" s="150">
        <f t="shared" si="141"/>
        <v>0.10140752575339818</v>
      </c>
      <c r="M82" s="150">
        <f t="shared" si="141"/>
        <v>4.8477714708167197E-2</v>
      </c>
      <c r="N82" s="150">
        <f t="shared" si="141"/>
        <v>6.1295363405967862E-2</v>
      </c>
      <c r="O82" s="179"/>
      <c r="P82" s="179"/>
      <c r="Q82" s="179"/>
      <c r="R82" s="179"/>
      <c r="S82" s="179"/>
      <c r="T82" s="179"/>
      <c r="U82" s="179"/>
      <c r="V82" s="180"/>
      <c r="W82" s="180"/>
      <c r="X82" s="180"/>
      <c r="Y82" s="180"/>
      <c r="Z82" s="180"/>
      <c r="AA82" s="180"/>
      <c r="AB82" s="180"/>
      <c r="AC82" s="180"/>
      <c r="AD82" s="180"/>
      <c r="AE82" s="149"/>
      <c r="AF82" s="149"/>
      <c r="AG82" s="149"/>
      <c r="AH82" s="149"/>
      <c r="AI82" s="149"/>
      <c r="AJ82" s="149"/>
      <c r="AK82" s="149"/>
      <c r="AL82" s="149"/>
      <c r="AM82" s="149"/>
      <c r="AN82" s="149"/>
      <c r="AO82" s="149"/>
      <c r="AP82" s="149"/>
      <c r="AQ82" s="149"/>
      <c r="AR82" s="149"/>
      <c r="AS82" s="149"/>
      <c r="AT82" s="149"/>
      <c r="AU82" s="149"/>
      <c r="AV82" s="149"/>
      <c r="AW82" s="149"/>
      <c r="AX82" s="149"/>
      <c r="AY82" s="149"/>
      <c r="AZ82" s="149"/>
      <c r="BA82" s="149"/>
      <c r="BB82" s="149"/>
      <c r="BC82" s="179"/>
    </row>
    <row r="83" spans="1:56" x14ac:dyDescent="0.25">
      <c r="AD83" s="38"/>
    </row>
    <row r="84" spans="1:56" x14ac:dyDescent="0.25">
      <c r="A84" s="38" t="s">
        <v>126</v>
      </c>
      <c r="G84" s="179"/>
      <c r="H84" s="179"/>
      <c r="I84" s="179"/>
      <c r="J84" s="179"/>
      <c r="K84" s="179"/>
      <c r="L84" s="179"/>
      <c r="M84" s="179"/>
      <c r="N84" s="179"/>
      <c r="O84" s="179"/>
      <c r="P84" s="179"/>
      <c r="Q84" s="185">
        <f t="shared" ref="Q84:BB84" si="142">Q42/M42-1</f>
        <v>0.9784250000000001</v>
      </c>
      <c r="R84" s="185">
        <f t="shared" si="142"/>
        <v>0.86272625000000014</v>
      </c>
      <c r="S84" s="185">
        <f t="shared" si="142"/>
        <v>0.69818833333333341</v>
      </c>
      <c r="T84" s="185">
        <f t="shared" si="142"/>
        <v>0.66332441227838701</v>
      </c>
      <c r="U84" s="185">
        <f t="shared" si="142"/>
        <v>0.93750640590930234</v>
      </c>
      <c r="V84" s="185">
        <f t="shared" si="142"/>
        <v>1.2078908535271888</v>
      </c>
      <c r="W84" s="185">
        <f t="shared" si="142"/>
        <v>1.4982226156698366</v>
      </c>
      <c r="X84" s="185">
        <f t="shared" si="142"/>
        <v>1.1706777233659675</v>
      </c>
      <c r="Y84" s="185">
        <f t="shared" si="142"/>
        <v>0.85772155054219068</v>
      </c>
      <c r="Z84" s="184">
        <f t="shared" si="142"/>
        <v>0.71259912520891833</v>
      </c>
      <c r="AA84" s="184">
        <f t="shared" si="142"/>
        <v>0.65038088228448032</v>
      </c>
      <c r="AB84" s="184">
        <f t="shared" si="142"/>
        <v>0.67751406916541113</v>
      </c>
      <c r="AC84" s="184">
        <f t="shared" si="142"/>
        <v>0.81861331094791878</v>
      </c>
      <c r="AD84" s="184">
        <f t="shared" si="142"/>
        <v>0.58764534883720931</v>
      </c>
      <c r="AE84" s="184">
        <f t="shared" si="142"/>
        <v>0.51611313741557807</v>
      </c>
      <c r="AF84" s="184">
        <f t="shared" si="142"/>
        <v>0.51484426262355587</v>
      </c>
      <c r="AG84" s="184">
        <f t="shared" si="142"/>
        <v>0.44174706698613586</v>
      </c>
      <c r="AH84" s="184">
        <f t="shared" si="142"/>
        <v>0.40670478397064502</v>
      </c>
      <c r="AI84" s="184">
        <f t="shared" si="142"/>
        <v>0.48815190320586432</v>
      </c>
      <c r="AJ84" s="184">
        <f t="shared" si="142"/>
        <v>0.62247631132007308</v>
      </c>
      <c r="AK84" s="184">
        <f t="shared" si="142"/>
        <v>0.32511246361156343</v>
      </c>
      <c r="AL84" s="184">
        <f t="shared" si="142"/>
        <v>0.38363784042326809</v>
      </c>
      <c r="AM84" s="184">
        <f t="shared" si="142"/>
        <v>0.29645268831175042</v>
      </c>
      <c r="AN84" s="184">
        <f t="shared" si="142"/>
        <v>0.16472544660934929</v>
      </c>
      <c r="AO84" s="184">
        <f t="shared" si="142"/>
        <v>0.30763425781947329</v>
      </c>
      <c r="AP84" s="185">
        <f t="shared" si="142"/>
        <v>0.23454902866594396</v>
      </c>
      <c r="AQ84" s="185">
        <f t="shared" si="142"/>
        <v>0.15611886419576093</v>
      </c>
      <c r="AR84" s="185">
        <f t="shared" si="142"/>
        <v>3.0174306264038497E-2</v>
      </c>
      <c r="AS84" s="184">
        <f t="shared" si="142"/>
        <v>6.7806022058817694E-2</v>
      </c>
      <c r="AT84" s="184">
        <f t="shared" si="142"/>
        <v>0.10236812779251303</v>
      </c>
      <c r="AU84" s="184">
        <f t="shared" si="142"/>
        <v>5.5379854870373446E-2</v>
      </c>
      <c r="AV84" s="185">
        <f t="shared" si="142"/>
        <v>6.5746988466533374E-2</v>
      </c>
      <c r="AW84" s="185">
        <f t="shared" si="142"/>
        <v>3.8819485228609674E-2</v>
      </c>
      <c r="AX84" s="185">
        <f t="shared" si="142"/>
        <v>8.9766321005409822E-2</v>
      </c>
      <c r="AY84" s="185">
        <f t="shared" si="142"/>
        <v>0.23925274971537425</v>
      </c>
      <c r="AZ84" s="185">
        <f t="shared" si="142"/>
        <v>0.21022616134262351</v>
      </c>
      <c r="BA84" s="185">
        <f t="shared" si="142"/>
        <v>0.19355948806814371</v>
      </c>
      <c r="BB84" s="185">
        <f t="shared" si="142"/>
        <v>0.17307878294675616</v>
      </c>
      <c r="BD84" s="106"/>
    </row>
    <row r="85" spans="1:56" x14ac:dyDescent="0.25">
      <c r="A85" s="38" t="s">
        <v>170</v>
      </c>
      <c r="L85" s="179"/>
      <c r="M85" s="179"/>
      <c r="N85" s="179"/>
      <c r="O85" s="179"/>
      <c r="P85" s="179"/>
      <c r="Q85" s="183"/>
      <c r="R85" s="183"/>
      <c r="S85" s="183"/>
      <c r="T85" s="185">
        <f t="shared" ref="T85:BB85" si="143">T38/P38-1</f>
        <v>0.79674796747967469</v>
      </c>
      <c r="U85" s="185">
        <f t="shared" si="143"/>
        <v>1.1037037037037036</v>
      </c>
      <c r="V85" s="185">
        <f t="shared" si="143"/>
        <v>1.3766233766233769</v>
      </c>
      <c r="W85" s="185">
        <f t="shared" si="143"/>
        <v>1.6319018404907979</v>
      </c>
      <c r="X85" s="185">
        <f t="shared" si="143"/>
        <v>1.2714932126696832</v>
      </c>
      <c r="Y85" s="185">
        <f t="shared" si="143"/>
        <v>0.96830985915492973</v>
      </c>
      <c r="Z85" s="184">
        <f t="shared" si="143"/>
        <v>0.83606557377049162</v>
      </c>
      <c r="AA85" s="184">
        <f t="shared" si="143"/>
        <v>0.78321678321678334</v>
      </c>
      <c r="AB85" s="184">
        <f t="shared" si="143"/>
        <v>0.80876494023904399</v>
      </c>
      <c r="AC85" s="184">
        <f t="shared" si="143"/>
        <v>0.90876565295169942</v>
      </c>
      <c r="AD85" s="184">
        <f t="shared" si="143"/>
        <v>0.625</v>
      </c>
      <c r="AE85" s="184">
        <f t="shared" si="143"/>
        <v>0.52941176470588225</v>
      </c>
      <c r="AF85" s="184">
        <f t="shared" si="143"/>
        <v>0.50550660792951541</v>
      </c>
      <c r="AG85" s="184">
        <f t="shared" si="143"/>
        <v>0.42080599812558583</v>
      </c>
      <c r="AH85" s="184">
        <f t="shared" si="143"/>
        <v>0.37271062271062272</v>
      </c>
      <c r="AI85" s="184">
        <f t="shared" si="143"/>
        <v>0.43675213675213675</v>
      </c>
      <c r="AJ85" s="184">
        <f t="shared" si="143"/>
        <v>0.54133138258961222</v>
      </c>
      <c r="AK85" s="184">
        <f t="shared" si="143"/>
        <v>0.28562005277044844</v>
      </c>
      <c r="AL85" s="184">
        <f t="shared" si="143"/>
        <v>0.38425617078052032</v>
      </c>
      <c r="AM85" s="184">
        <f t="shared" si="143"/>
        <v>0.28375966686496135</v>
      </c>
      <c r="AN85" s="184">
        <f t="shared" si="143"/>
        <v>0.15804461319411467</v>
      </c>
      <c r="AO85" s="184">
        <f t="shared" si="143"/>
        <v>0.28116983068240131</v>
      </c>
      <c r="AP85" s="185">
        <f t="shared" si="143"/>
        <v>0.1759036144578312</v>
      </c>
      <c r="AQ85" s="185">
        <f t="shared" si="143"/>
        <v>0.12140871177015766</v>
      </c>
      <c r="AR85" s="185">
        <f t="shared" si="143"/>
        <v>2.0491803278688492E-2</v>
      </c>
      <c r="AS85" s="184">
        <f t="shared" si="143"/>
        <v>5.3263916700040159E-2</v>
      </c>
      <c r="AT85" s="184">
        <f t="shared" si="143"/>
        <v>9.0163934426229719E-2</v>
      </c>
      <c r="AU85" s="184">
        <f t="shared" si="143"/>
        <v>4.1322314049586861E-2</v>
      </c>
      <c r="AV85" s="185">
        <f t="shared" si="143"/>
        <v>4.8192771084337505E-2</v>
      </c>
      <c r="AW85" s="185">
        <f t="shared" si="143"/>
        <v>2.281368821292773E-2</v>
      </c>
      <c r="AX85" s="185">
        <f t="shared" si="143"/>
        <v>4.5112781954887105E-2</v>
      </c>
      <c r="AY85" s="185">
        <f t="shared" si="143"/>
        <v>0.17063492063492069</v>
      </c>
      <c r="AZ85" s="185">
        <f t="shared" si="143"/>
        <v>0.13793103448275845</v>
      </c>
      <c r="BA85" s="185">
        <f t="shared" si="143"/>
        <v>0.11895910780669161</v>
      </c>
      <c r="BB85" s="185">
        <f t="shared" si="143"/>
        <v>0.12589928057553967</v>
      </c>
    </row>
    <row r="86" spans="1:56" x14ac:dyDescent="0.25">
      <c r="AD86" s="38"/>
    </row>
    <row r="87" spans="1:56" x14ac:dyDescent="0.25">
      <c r="A87" s="38" t="s">
        <v>127</v>
      </c>
      <c r="H87" s="186"/>
      <c r="I87" s="186"/>
      <c r="J87" s="186"/>
      <c r="K87" s="186"/>
      <c r="L87" s="186"/>
      <c r="M87" s="186"/>
      <c r="N87" s="187"/>
      <c r="O87" s="187"/>
      <c r="P87" s="187"/>
      <c r="Q87" s="187"/>
      <c r="R87" s="167">
        <f t="shared" ref="R87:AQ87" si="144">R42*1000/AVERAGE(R10,Q10)/3</f>
        <v>2.3361701026927753</v>
      </c>
      <c r="S87" s="167">
        <f t="shared" si="144"/>
        <v>2.4328358208955225</v>
      </c>
      <c r="T87" s="167">
        <f t="shared" si="144"/>
        <v>3.2741343136462397</v>
      </c>
      <c r="U87" s="167">
        <f t="shared" si="144"/>
        <v>4.0415531774064126</v>
      </c>
      <c r="V87" s="167">
        <f t="shared" si="144"/>
        <v>4.975265867259739</v>
      </c>
      <c r="W87" s="167">
        <f t="shared" si="144"/>
        <v>5.6542913564231512</v>
      </c>
      <c r="X87" s="167">
        <f t="shared" si="144"/>
        <v>6.4548680091299468</v>
      </c>
      <c r="Y87" s="167">
        <f t="shared" si="144"/>
        <v>7.1221586504989389</v>
      </c>
      <c r="Z87" s="168">
        <f t="shared" si="144"/>
        <v>8.4526447423268465</v>
      </c>
      <c r="AA87" s="168">
        <f t="shared" si="144"/>
        <v>9.4226889333245101</v>
      </c>
      <c r="AB87" s="168">
        <f t="shared" si="144"/>
        <v>11.006011573183315</v>
      </c>
      <c r="AC87" s="168">
        <f t="shared" si="144"/>
        <v>12.778215459773484</v>
      </c>
      <c r="AD87" s="168">
        <f t="shared" si="144"/>
        <v>12.923307948085379</v>
      </c>
      <c r="AE87" s="168">
        <f t="shared" si="144"/>
        <v>13.76470588235294</v>
      </c>
      <c r="AF87" s="168">
        <f t="shared" si="144"/>
        <v>16.08235294117647</v>
      </c>
      <c r="AG87" s="168">
        <f t="shared" si="144"/>
        <v>17.835294117647056</v>
      </c>
      <c r="AH87" s="168">
        <f t="shared" si="144"/>
        <v>17.63529411764706</v>
      </c>
      <c r="AI87" s="168">
        <f t="shared" si="144"/>
        <v>19.776470588235291</v>
      </c>
      <c r="AJ87" s="168">
        <f t="shared" si="144"/>
        <v>24.788235294117644</v>
      </c>
      <c r="AK87" s="168">
        <f t="shared" si="144"/>
        <v>22.929411764705879</v>
      </c>
      <c r="AL87" s="168">
        <f t="shared" si="144"/>
        <v>24.411764705882351</v>
      </c>
      <c r="AM87" s="168">
        <f t="shared" si="144"/>
        <v>25.388235294117646</v>
      </c>
      <c r="AN87" s="168">
        <f t="shared" si="144"/>
        <v>28.705882352941174</v>
      </c>
      <c r="AO87" s="168">
        <f t="shared" si="144"/>
        <v>29.376470588235293</v>
      </c>
      <c r="AP87" s="167">
        <f t="shared" si="144"/>
        <v>28.705882352941174</v>
      </c>
      <c r="AQ87" s="167">
        <f t="shared" si="144"/>
        <v>28.470588235294127</v>
      </c>
      <c r="AR87" s="167"/>
      <c r="AS87" s="168" t="e">
        <f>AS42*1000/AVERAGE(AS10,AR10)/3</f>
        <v>#DIV/0!</v>
      </c>
      <c r="AT87" s="168" t="e">
        <f>AT42*1000/AVERAGE(AT10,AS10)/3</f>
        <v>#DIV/0!</v>
      </c>
      <c r="AU87" s="168" t="e">
        <f>AU42*1000/AVERAGE(AU10,AT10)/3</f>
        <v>#DIV/0!</v>
      </c>
      <c r="AV87" s="167"/>
      <c r="AW87" s="167"/>
      <c r="AX87" s="167"/>
      <c r="AY87" s="167"/>
      <c r="AZ87" s="167"/>
      <c r="BA87" s="167"/>
      <c r="BB87" s="167"/>
    </row>
    <row r="88" spans="1:56" x14ac:dyDescent="0.25">
      <c r="A88" s="38" t="s">
        <v>128</v>
      </c>
      <c r="L88" s="179"/>
      <c r="M88" s="179"/>
      <c r="N88" s="179"/>
      <c r="O88" s="179"/>
      <c r="P88" s="179"/>
      <c r="Q88" s="179"/>
      <c r="R88" s="179"/>
      <c r="S88" s="179"/>
      <c r="T88" s="179"/>
      <c r="U88" s="179"/>
      <c r="V88" s="150">
        <f>V87/R87-1</f>
        <v>1.1296676391522271</v>
      </c>
      <c r="W88" s="150">
        <f t="shared" ref="W88:Z88" si="145">W87/S87-1</f>
        <v>1.324156569818105</v>
      </c>
      <c r="X88" s="150">
        <f t="shared" si="145"/>
        <v>0.9714731867372548</v>
      </c>
      <c r="Y88" s="150">
        <f t="shared" si="145"/>
        <v>0.76223306681057812</v>
      </c>
      <c r="Z88" s="149">
        <f t="shared" si="145"/>
        <v>0.69893327670192762</v>
      </c>
      <c r="AA88" s="149">
        <f t="shared" ref="AA88:AH88" si="146">AA87/W87-1</f>
        <v>0.66646681951055498</v>
      </c>
      <c r="AB88" s="149">
        <f t="shared" si="146"/>
        <v>0.70507151464849516</v>
      </c>
      <c r="AC88" s="149">
        <f t="shared" si="146"/>
        <v>0.79414923014644079</v>
      </c>
      <c r="AD88" s="149">
        <f t="shared" si="146"/>
        <v>0.52890702756872843</v>
      </c>
      <c r="AE88" s="149">
        <f t="shared" si="146"/>
        <v>0.46080444549881583</v>
      </c>
      <c r="AF88" s="149">
        <f t="shared" si="146"/>
        <v>0.4612335117257107</v>
      </c>
      <c r="AG88" s="149">
        <f t="shared" si="146"/>
        <v>0.39575781718453018</v>
      </c>
      <c r="AH88" s="149">
        <f t="shared" si="146"/>
        <v>0.36461145927113603</v>
      </c>
      <c r="AI88" s="149">
        <f t="shared" ref="AI88:AU88" si="147">AI87/AE87-1</f>
        <v>0.43675213675213675</v>
      </c>
      <c r="AJ88" s="149">
        <f t="shared" si="147"/>
        <v>0.54133138258961222</v>
      </c>
      <c r="AK88" s="149">
        <f t="shared" si="147"/>
        <v>0.28562005277044866</v>
      </c>
      <c r="AL88" s="149">
        <f t="shared" si="147"/>
        <v>0.3842561707805201</v>
      </c>
      <c r="AM88" s="149">
        <f t="shared" si="147"/>
        <v>0.28375966686496135</v>
      </c>
      <c r="AN88" s="149">
        <f t="shared" si="147"/>
        <v>0.15804461319411489</v>
      </c>
      <c r="AO88" s="149">
        <f t="shared" si="147"/>
        <v>0.28116983068240131</v>
      </c>
      <c r="AP88" s="150">
        <f t="shared" si="147"/>
        <v>0.1759036144578312</v>
      </c>
      <c r="AQ88" s="150">
        <f t="shared" si="147"/>
        <v>0.12140871177015788</v>
      </c>
      <c r="AR88" s="150"/>
      <c r="AS88" s="149" t="e">
        <f t="shared" si="147"/>
        <v>#DIV/0!</v>
      </c>
      <c r="AT88" s="149" t="e">
        <f t="shared" si="147"/>
        <v>#DIV/0!</v>
      </c>
      <c r="AU88" s="149" t="e">
        <f t="shared" si="147"/>
        <v>#DIV/0!</v>
      </c>
      <c r="AV88" s="150"/>
      <c r="AW88" s="150"/>
      <c r="AX88" s="150"/>
      <c r="AY88" s="150"/>
      <c r="AZ88" s="150"/>
      <c r="BA88" s="150"/>
      <c r="BB88" s="150"/>
    </row>
    <row r="89" spans="1:56" x14ac:dyDescent="0.25">
      <c r="AD89" s="38"/>
    </row>
    <row r="90" spans="1:56" x14ac:dyDescent="0.25">
      <c r="A90" s="38" t="s">
        <v>169</v>
      </c>
      <c r="T90" s="150">
        <f t="shared" ref="T90:AC91" si="148">T39/P39-1</f>
        <v>0.72413793103448287</v>
      </c>
      <c r="U90" s="150">
        <f t="shared" si="148"/>
        <v>1.0634920634920637</v>
      </c>
      <c r="V90" s="150">
        <f t="shared" si="148"/>
        <v>1.2708333333333335</v>
      </c>
      <c r="W90" s="150">
        <f t="shared" si="148"/>
        <v>1.3870967741935485</v>
      </c>
      <c r="X90" s="150">
        <f t="shared" si="148"/>
        <v>1.145</v>
      </c>
      <c r="Y90" s="150">
        <f t="shared" si="148"/>
        <v>0.83846153846153859</v>
      </c>
      <c r="Z90" s="149">
        <f t="shared" si="148"/>
        <v>0.7951070336391437</v>
      </c>
      <c r="AA90" s="149">
        <f t="shared" si="148"/>
        <v>0.81891891891891899</v>
      </c>
      <c r="AB90" s="149">
        <f t="shared" si="148"/>
        <v>0.91142191142191131</v>
      </c>
      <c r="AC90" s="149">
        <f t="shared" si="148"/>
        <v>1.1422594142259412</v>
      </c>
      <c r="AD90" s="149">
        <f t="shared" ref="AD90:AM91" si="149">AD39/Z39-1</f>
        <v>0.76490630323679709</v>
      </c>
      <c r="AE90" s="149">
        <f t="shared" si="149"/>
        <v>0.70430906389301629</v>
      </c>
      <c r="AF90" s="149">
        <f t="shared" si="149"/>
        <v>0.67317073170731723</v>
      </c>
      <c r="AG90" s="149">
        <f t="shared" si="149"/>
        <v>0.4853515625</v>
      </c>
      <c r="AH90" s="149">
        <f t="shared" si="149"/>
        <v>0.42374517374517384</v>
      </c>
      <c r="AI90" s="149">
        <f t="shared" si="149"/>
        <v>0.47253705318221439</v>
      </c>
      <c r="AJ90" s="149">
        <f t="shared" si="149"/>
        <v>0.64212827988338184</v>
      </c>
      <c r="AK90" s="149">
        <f t="shared" si="149"/>
        <v>0.25378040762656151</v>
      </c>
      <c r="AL90" s="149">
        <f t="shared" si="149"/>
        <v>0.30779661016949156</v>
      </c>
      <c r="AM90" s="149">
        <f t="shared" si="149"/>
        <v>0.23682652457075193</v>
      </c>
      <c r="AN90" s="149">
        <f t="shared" ref="AN90:AW91" si="150">AN39/AJ39-1</f>
        <v>5.2818464269862364E-2</v>
      </c>
      <c r="AO90" s="149">
        <f t="shared" si="150"/>
        <v>0.21709491347666487</v>
      </c>
      <c r="AP90" s="150">
        <f t="shared" si="150"/>
        <v>0.17159149818558861</v>
      </c>
      <c r="AQ90" s="150">
        <f t="shared" si="150"/>
        <v>6.7496409765438026E-2</v>
      </c>
      <c r="AR90" s="150">
        <f t="shared" si="150"/>
        <v>-2.1922428330522714E-2</v>
      </c>
      <c r="AS90" s="149">
        <f t="shared" si="150"/>
        <v>5.9887979319259044E-2</v>
      </c>
      <c r="AT90" s="149">
        <f t="shared" si="150"/>
        <v>0.1017699115044246</v>
      </c>
      <c r="AU90" s="149">
        <f t="shared" si="150"/>
        <v>6.2780269058295923E-2</v>
      </c>
      <c r="AV90" s="150">
        <f t="shared" si="150"/>
        <v>6.4655172413793149E-2</v>
      </c>
      <c r="AW90" s="150">
        <f t="shared" si="150"/>
        <v>2.4390243902439046E-2</v>
      </c>
      <c r="AX90" s="150">
        <f t="shared" ref="AX90:BB91" si="151">AX39/AT39-1</f>
        <v>5.2208835341365445E-2</v>
      </c>
      <c r="AY90" s="150">
        <f t="shared" si="151"/>
        <v>0.17721518987341778</v>
      </c>
      <c r="AZ90" s="150">
        <f t="shared" si="151"/>
        <v>0.12955465587044523</v>
      </c>
      <c r="BA90" s="150">
        <f t="shared" si="151"/>
        <v>0.11904761904761907</v>
      </c>
      <c r="BB90" s="150">
        <f t="shared" si="151"/>
        <v>0.12595419847328237</v>
      </c>
    </row>
    <row r="91" spans="1:56" x14ac:dyDescent="0.25">
      <c r="A91" s="38" t="s">
        <v>171</v>
      </c>
      <c r="T91" s="150">
        <f t="shared" si="148"/>
        <v>0.96666666666666679</v>
      </c>
      <c r="U91" s="150">
        <f t="shared" si="148"/>
        <v>1.1337209302325579</v>
      </c>
      <c r="V91" s="150">
        <f t="shared" si="148"/>
        <v>1.6223404255319149</v>
      </c>
      <c r="W91" s="150">
        <f t="shared" si="148"/>
        <v>2.2124352331606221</v>
      </c>
      <c r="X91" s="150">
        <f t="shared" si="148"/>
        <v>1.4169491525423727</v>
      </c>
      <c r="Y91" s="150">
        <f t="shared" si="148"/>
        <v>1.111716621253406</v>
      </c>
      <c r="Z91" s="149">
        <f t="shared" si="148"/>
        <v>0.80121703853955406</v>
      </c>
      <c r="AA91" s="149">
        <f t="shared" si="148"/>
        <v>0.59354838709677438</v>
      </c>
      <c r="AB91" s="149">
        <f t="shared" si="148"/>
        <v>0.56661991584852744</v>
      </c>
      <c r="AC91" s="149">
        <f t="shared" si="148"/>
        <v>0.50451612903225818</v>
      </c>
      <c r="AD91" s="149">
        <f t="shared" si="149"/>
        <v>0.36936936936936937</v>
      </c>
      <c r="AE91" s="149">
        <f t="shared" si="149"/>
        <v>0.23178137651821862</v>
      </c>
      <c r="AF91" s="149">
        <f t="shared" si="149"/>
        <v>0.21665174574753809</v>
      </c>
      <c r="AG91" s="149">
        <f t="shared" si="149"/>
        <v>0.29159519725557459</v>
      </c>
      <c r="AH91" s="149">
        <f t="shared" si="149"/>
        <v>0.26809210526315796</v>
      </c>
      <c r="AI91" s="149">
        <f t="shared" si="149"/>
        <v>0.37058340180772387</v>
      </c>
      <c r="AJ91" s="149">
        <f t="shared" si="149"/>
        <v>0.3701250919793968</v>
      </c>
      <c r="AK91" s="149">
        <f t="shared" si="149"/>
        <v>0.34196547144754308</v>
      </c>
      <c r="AL91" s="149">
        <f t="shared" si="149"/>
        <v>0.51297016861219191</v>
      </c>
      <c r="AM91" s="149">
        <f t="shared" si="149"/>
        <v>0.36750599520383687</v>
      </c>
      <c r="AN91" s="149">
        <f t="shared" si="150"/>
        <v>0.37432867883995691</v>
      </c>
      <c r="AO91" s="149">
        <f t="shared" si="150"/>
        <v>0.38743196437407224</v>
      </c>
      <c r="AP91" s="150">
        <f t="shared" si="150"/>
        <v>0.17445349335619387</v>
      </c>
      <c r="AQ91" s="150">
        <f t="shared" si="150"/>
        <v>0.19245944761069711</v>
      </c>
      <c r="AR91" s="150">
        <f t="shared" si="150"/>
        <v>9.026963657678766E-2</v>
      </c>
      <c r="AS91" s="149">
        <f t="shared" si="150"/>
        <v>3.7803138373751821E-2</v>
      </c>
      <c r="AT91" s="149">
        <f t="shared" si="150"/>
        <v>6.9343065693430628E-2</v>
      </c>
      <c r="AU91" s="149">
        <f t="shared" si="150"/>
        <v>1.1029411764705843E-2</v>
      </c>
      <c r="AV91" s="150">
        <f t="shared" si="150"/>
        <v>1.7921146953405076E-2</v>
      </c>
      <c r="AW91" s="150">
        <f t="shared" si="150"/>
        <v>1.3745704467353903E-2</v>
      </c>
      <c r="AX91" s="150">
        <f t="shared" si="151"/>
        <v>3.7542662116040848E-2</v>
      </c>
      <c r="AY91" s="150">
        <f t="shared" si="151"/>
        <v>0.16363636363636358</v>
      </c>
      <c r="AZ91" s="150">
        <f t="shared" si="151"/>
        <v>0.14436619718309873</v>
      </c>
      <c r="BA91" s="150">
        <f t="shared" si="151"/>
        <v>0.11186440677966103</v>
      </c>
      <c r="BB91" s="150">
        <f t="shared" si="151"/>
        <v>0.11184210526315774</v>
      </c>
    </row>
    <row r="92" spans="1:56" x14ac:dyDescent="0.25">
      <c r="AD92" s="38"/>
    </row>
    <row r="93" spans="1:56" x14ac:dyDescent="0.25">
      <c r="AD93" s="38"/>
    </row>
    <row r="94" spans="1:56" x14ac:dyDescent="0.25">
      <c r="A94" s="38" t="s">
        <v>180</v>
      </c>
      <c r="P94" s="262">
        <v>100</v>
      </c>
      <c r="Q94" s="151">
        <f t="shared" ref="Q94:AY94" si="152">(Q38/$P38)*$P94</f>
        <v>109.75609756097562</v>
      </c>
      <c r="R94" s="151">
        <f t="shared" si="152"/>
        <v>125.20325203252034</v>
      </c>
      <c r="S94" s="151">
        <f t="shared" si="152"/>
        <v>132.52032520325204</v>
      </c>
      <c r="T94" s="151">
        <f t="shared" si="152"/>
        <v>179.67479674796746</v>
      </c>
      <c r="U94" s="156">
        <f t="shared" si="152"/>
        <v>230.89430894308944</v>
      </c>
      <c r="V94" s="156">
        <f t="shared" si="152"/>
        <v>297.5609756097561</v>
      </c>
      <c r="W94" s="156">
        <f t="shared" si="152"/>
        <v>348.78048780487802</v>
      </c>
      <c r="X94" s="156">
        <f t="shared" si="152"/>
        <v>408.130081300813</v>
      </c>
      <c r="Y94" s="156">
        <f t="shared" si="152"/>
        <v>454.47154471544718</v>
      </c>
      <c r="Z94" s="156">
        <f t="shared" si="152"/>
        <v>546.34146341463406</v>
      </c>
      <c r="AA94" s="156">
        <f t="shared" si="152"/>
        <v>621.95121951219517</v>
      </c>
      <c r="AB94" s="156">
        <f t="shared" si="152"/>
        <v>738.21138211382106</v>
      </c>
      <c r="AC94" s="156">
        <f t="shared" si="152"/>
        <v>867.4796747967481</v>
      </c>
      <c r="AD94" s="156">
        <f t="shared" si="152"/>
        <v>887.80487804878055</v>
      </c>
      <c r="AE94" s="156">
        <f t="shared" si="152"/>
        <v>951.21951219512187</v>
      </c>
      <c r="AF94" s="156">
        <f t="shared" si="152"/>
        <v>1111.3821138211381</v>
      </c>
      <c r="AG94" s="156">
        <f t="shared" si="152"/>
        <v>1232.520325203252</v>
      </c>
      <c r="AH94" s="156">
        <f t="shared" si="152"/>
        <v>1218.69918699187</v>
      </c>
      <c r="AI94" s="156">
        <f t="shared" si="152"/>
        <v>1366.6666666666665</v>
      </c>
      <c r="AJ94" s="156">
        <f t="shared" si="152"/>
        <v>1713.0081300813008</v>
      </c>
      <c r="AK94" s="156">
        <f t="shared" si="152"/>
        <v>1584.5528455284552</v>
      </c>
      <c r="AL94" s="156">
        <f t="shared" si="152"/>
        <v>1686.9918699186992</v>
      </c>
      <c r="AM94" s="156">
        <f t="shared" si="152"/>
        <v>1754.471544715447</v>
      </c>
      <c r="AN94" s="156">
        <f t="shared" si="152"/>
        <v>1983.7398373983738</v>
      </c>
      <c r="AO94" s="156">
        <f t="shared" si="152"/>
        <v>2030.0813008130081</v>
      </c>
      <c r="AP94" s="156">
        <f t="shared" si="152"/>
        <v>1983.7398373983738</v>
      </c>
      <c r="AQ94" s="156">
        <f t="shared" si="152"/>
        <v>1967.479674796748</v>
      </c>
      <c r="AR94" s="156">
        <f t="shared" si="152"/>
        <v>2024.3902439024389</v>
      </c>
      <c r="AS94" s="156">
        <f t="shared" si="152"/>
        <v>2138.2113821138214</v>
      </c>
      <c r="AT94" s="156">
        <f t="shared" si="152"/>
        <v>2162.6016260162605</v>
      </c>
      <c r="AU94" s="156">
        <f t="shared" si="152"/>
        <v>2048.7804878048782</v>
      </c>
      <c r="AV94" s="156">
        <f t="shared" si="152"/>
        <v>2121.9512195121956</v>
      </c>
      <c r="AW94" s="156">
        <f t="shared" si="152"/>
        <v>2186.9918699186987</v>
      </c>
      <c r="AX94" s="156">
        <f t="shared" si="152"/>
        <v>2260.1626016260161</v>
      </c>
      <c r="AY94" s="156">
        <f t="shared" si="152"/>
        <v>2398.3739837398375</v>
      </c>
      <c r="AZ94" s="156">
        <f t="shared" ref="AZ94:BA94" si="153">(AZ38/$P38)*$P94</f>
        <v>2414.6341463414633</v>
      </c>
      <c r="BA94" s="156">
        <f t="shared" si="153"/>
        <v>2447.1544715447158</v>
      </c>
      <c r="BB94" s="156">
        <f t="shared" ref="BB94" si="154">(BB38/$P38)*$P94</f>
        <v>2544.7154471544718</v>
      </c>
    </row>
    <row r="95" spans="1:56" x14ac:dyDescent="0.25">
      <c r="A95" s="38" t="s">
        <v>181</v>
      </c>
      <c r="P95" s="262">
        <v>100</v>
      </c>
      <c r="Q95" s="151">
        <f t="shared" ref="Q95:AY95" si="155">(Q25/$P25)*$P95</f>
        <v>104.25531914893618</v>
      </c>
      <c r="R95" s="151">
        <f t="shared" si="155"/>
        <v>106.38297872340425</v>
      </c>
      <c r="S95" s="151">
        <f t="shared" si="155"/>
        <v>106.38297872340425</v>
      </c>
      <c r="T95" s="151">
        <f t="shared" si="155"/>
        <v>104.25531914893618</v>
      </c>
      <c r="U95" s="156">
        <f t="shared" si="155"/>
        <v>106.38297872340425</v>
      </c>
      <c r="V95" s="156">
        <f t="shared" si="155"/>
        <v>110.63829787234043</v>
      </c>
      <c r="W95" s="156">
        <f t="shared" si="155"/>
        <v>108.51063829787233</v>
      </c>
      <c r="X95" s="156">
        <f t="shared" si="155"/>
        <v>108.51063829787233</v>
      </c>
      <c r="Y95" s="156">
        <f t="shared" si="155"/>
        <v>108.51063829787233</v>
      </c>
      <c r="Z95" s="156">
        <f t="shared" si="155"/>
        <v>108.51063829787233</v>
      </c>
      <c r="AA95" s="156">
        <f t="shared" si="155"/>
        <v>108.51063829787233</v>
      </c>
      <c r="AB95" s="156">
        <f t="shared" si="155"/>
        <v>112.7659574468085</v>
      </c>
      <c r="AC95" s="156">
        <f t="shared" si="155"/>
        <v>112.7659574468085</v>
      </c>
      <c r="AD95" s="156">
        <f t="shared" si="155"/>
        <v>112.7659574468085</v>
      </c>
      <c r="AE95" s="156">
        <f t="shared" si="155"/>
        <v>108.51063829787233</v>
      </c>
      <c r="AF95" s="156">
        <f t="shared" si="155"/>
        <v>108.51063829787233</v>
      </c>
      <c r="AG95" s="156">
        <f t="shared" si="155"/>
        <v>108.51063829787233</v>
      </c>
      <c r="AH95" s="156">
        <f t="shared" si="155"/>
        <v>108.51063829787233</v>
      </c>
      <c r="AI95" s="156">
        <f t="shared" si="155"/>
        <v>104.25531914893618</v>
      </c>
      <c r="AJ95" s="156">
        <f t="shared" si="155"/>
        <v>100</v>
      </c>
      <c r="AK95" s="156">
        <f t="shared" si="155"/>
        <v>103.61702127659575</v>
      </c>
      <c r="AL95" s="156">
        <f t="shared" si="155"/>
        <v>102.7659574468085</v>
      </c>
      <c r="AM95" s="156">
        <f t="shared" si="155"/>
        <v>100.85106382978724</v>
      </c>
      <c r="AN95" s="156">
        <f t="shared" si="155"/>
        <v>100</v>
      </c>
      <c r="AO95" s="156">
        <f t="shared" si="155"/>
        <v>99.148936170212764</v>
      </c>
      <c r="AP95" s="156">
        <f t="shared" si="155"/>
        <v>97.659574468085111</v>
      </c>
      <c r="AQ95" s="156">
        <f t="shared" si="155"/>
        <v>98.297872340425542</v>
      </c>
      <c r="AR95" s="156">
        <f t="shared" si="155"/>
        <v>101.48936170212765</v>
      </c>
      <c r="AS95" s="156">
        <f t="shared" si="155"/>
        <v>100.63829787234042</v>
      </c>
      <c r="AT95" s="156">
        <f t="shared" si="155"/>
        <v>101.70212765957447</v>
      </c>
      <c r="AU95" s="156">
        <f t="shared" si="155"/>
        <v>99.78723404255318</v>
      </c>
      <c r="AV95" s="156">
        <f t="shared" si="155"/>
        <v>100</v>
      </c>
      <c r="AW95" s="156">
        <f t="shared" si="155"/>
        <v>99.361702127659584</v>
      </c>
      <c r="AX95" s="156">
        <f t="shared" si="155"/>
        <v>97.446808510638292</v>
      </c>
      <c r="AY95" s="156">
        <f t="shared" si="155"/>
        <v>95.106382978723417</v>
      </c>
      <c r="AZ95" s="156">
        <f t="shared" ref="AZ95:BA95" si="156">(AZ25/$P25)*$P95</f>
        <v>95.106382978723417</v>
      </c>
      <c r="BA95" s="156">
        <f t="shared" si="156"/>
        <v>94.042553191489361</v>
      </c>
      <c r="BB95" s="156">
        <f t="shared" ref="BB95" si="157">(BB25/$P25)*$P95</f>
        <v>94.680851063829792</v>
      </c>
    </row>
    <row r="96" spans="1:56" x14ac:dyDescent="0.25">
      <c r="AD96" s="38"/>
    </row>
    <row r="97" spans="30:30" x14ac:dyDescent="0.25">
      <c r="AD97" s="38"/>
    </row>
    <row r="98" spans="30:30" x14ac:dyDescent="0.25">
      <c r="AD98" s="38"/>
    </row>
    <row r="99" spans="30:30" x14ac:dyDescent="0.25">
      <c r="AD99" s="38"/>
    </row>
    <row r="100" spans="30:30" x14ac:dyDescent="0.25">
      <c r="AD100" s="38"/>
    </row>
  </sheetData>
  <phoneticPr fontId="19" type="noConversion"/>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ZC616"/>
  <sheetViews>
    <sheetView view="pageBreakPreview" zoomScale="70" zoomScaleNormal="70" zoomScaleSheetLayoutView="70" workbookViewId="0">
      <selection activeCell="G3" sqref="G3"/>
    </sheetView>
  </sheetViews>
  <sheetFormatPr defaultRowHeight="16.2" x14ac:dyDescent="0.35"/>
  <cols>
    <col min="1" max="1" width="12.5546875" style="2" customWidth="1"/>
    <col min="2" max="5" width="9.21875" style="2"/>
    <col min="6" max="6" width="12" style="2" customWidth="1"/>
    <col min="7" max="15" width="9.21875" style="2"/>
    <col min="16" max="16" width="9.21875" style="2" customWidth="1"/>
    <col min="17" max="23" width="9.21875" style="2"/>
    <col min="24" max="27" width="9.21875" style="6"/>
    <col min="28" max="31" width="11" style="6" bestFit="1" customWidth="1"/>
    <col min="32" max="47" width="9.77734375" style="6" bestFit="1" customWidth="1"/>
    <col min="48" max="16227" width="9.21875" style="6"/>
    <col min="16228" max="16384" width="9.21875" style="2"/>
  </cols>
  <sheetData>
    <row r="1" spans="1:47" x14ac:dyDescent="0.35">
      <c r="A1" s="1" t="s">
        <v>25</v>
      </c>
      <c r="B1" s="1" t="s">
        <v>26</v>
      </c>
      <c r="C1" s="1"/>
      <c r="D1" s="1"/>
      <c r="E1" s="23"/>
      <c r="F1" s="1" t="s">
        <v>328</v>
      </c>
      <c r="G1" s="1"/>
      <c r="H1" s="1"/>
      <c r="I1" s="23"/>
      <c r="J1" s="23"/>
      <c r="K1" s="23"/>
      <c r="L1" s="23"/>
      <c r="M1" s="23"/>
      <c r="N1" s="23"/>
      <c r="O1" s="23"/>
      <c r="P1" s="23"/>
      <c r="Q1" s="23"/>
      <c r="R1" s="23"/>
      <c r="S1" s="23"/>
      <c r="T1" s="23"/>
      <c r="U1" s="6"/>
      <c r="V1" s="6"/>
      <c r="W1" s="6"/>
    </row>
    <row r="2" spans="1:47" x14ac:dyDescent="0.35">
      <c r="A2" s="7" t="s">
        <v>27</v>
      </c>
      <c r="B2" s="6" t="s">
        <v>8</v>
      </c>
      <c r="C2" s="6"/>
      <c r="D2" s="6"/>
      <c r="E2" s="6"/>
      <c r="F2" s="6"/>
      <c r="G2" s="6"/>
      <c r="H2" s="6"/>
      <c r="I2" s="6"/>
      <c r="J2" s="6"/>
      <c r="K2" s="6"/>
      <c r="L2" s="6"/>
      <c r="M2" s="6"/>
      <c r="N2" s="6"/>
      <c r="O2" s="6"/>
      <c r="P2" s="6"/>
      <c r="Q2" s="6"/>
      <c r="R2" s="6"/>
      <c r="S2" s="6"/>
      <c r="T2" s="6"/>
      <c r="U2" s="6"/>
      <c r="V2" s="6"/>
      <c r="W2" s="6"/>
    </row>
    <row r="3" spans="1:47" x14ac:dyDescent="0.35">
      <c r="A3" s="10" t="s">
        <v>28</v>
      </c>
      <c r="B3" s="6" t="s">
        <v>62</v>
      </c>
      <c r="C3" s="6"/>
      <c r="D3" s="6"/>
      <c r="E3" s="6"/>
      <c r="F3" s="24" t="s">
        <v>329</v>
      </c>
      <c r="G3" s="25" t="s">
        <v>263</v>
      </c>
      <c r="H3" s="6"/>
      <c r="I3" s="6"/>
      <c r="J3" s="6"/>
      <c r="K3" s="6"/>
      <c r="L3" s="6"/>
      <c r="M3" s="6"/>
      <c r="N3" s="6"/>
      <c r="O3" s="6"/>
      <c r="P3" s="6"/>
      <c r="Q3" s="6"/>
      <c r="R3" s="6"/>
      <c r="S3" s="6"/>
      <c r="T3" s="6"/>
      <c r="U3" s="6"/>
      <c r="V3" s="6"/>
      <c r="W3" s="6"/>
    </row>
    <row r="4" spans="1:47" x14ac:dyDescent="0.35">
      <c r="A4" s="10" t="s">
        <v>29</v>
      </c>
      <c r="B4" s="8" t="s">
        <v>55</v>
      </c>
      <c r="C4" s="6"/>
      <c r="D4" s="6"/>
      <c r="E4" s="6"/>
      <c r="F4" s="6"/>
      <c r="G4" s="6"/>
      <c r="H4" s="6"/>
      <c r="I4" s="6"/>
      <c r="J4" s="6"/>
      <c r="K4" s="6"/>
      <c r="L4" s="6"/>
      <c r="M4" s="6"/>
      <c r="N4" s="6"/>
      <c r="O4" s="6"/>
      <c r="P4" s="6"/>
      <c r="Q4" s="6"/>
      <c r="R4" s="6"/>
      <c r="S4" s="6"/>
      <c r="T4" s="6"/>
      <c r="U4" s="6"/>
      <c r="V4" s="6"/>
      <c r="W4" s="6"/>
    </row>
    <row r="5" spans="1:47" x14ac:dyDescent="0.35">
      <c r="A5" s="10" t="s">
        <v>30</v>
      </c>
      <c r="B5" s="6" t="s">
        <v>63</v>
      </c>
      <c r="C5" s="6"/>
      <c r="D5" s="6"/>
      <c r="E5" s="6"/>
      <c r="F5" s="26"/>
      <c r="G5" s="6"/>
      <c r="H5" s="6"/>
      <c r="I5" s="6"/>
      <c r="J5" s="6"/>
      <c r="K5" s="6"/>
      <c r="L5" s="6"/>
      <c r="M5" s="6"/>
      <c r="N5" s="6"/>
      <c r="O5" s="6"/>
      <c r="P5" s="6"/>
      <c r="Q5" s="6"/>
      <c r="R5" s="6"/>
      <c r="S5" s="6"/>
      <c r="T5" s="6"/>
      <c r="U5" s="6"/>
      <c r="V5" s="6"/>
      <c r="W5" s="6"/>
    </row>
    <row r="6" spans="1:47" x14ac:dyDescent="0.35">
      <c r="A6" s="10" t="s">
        <v>31</v>
      </c>
      <c r="B6" s="6" t="s">
        <v>64</v>
      </c>
      <c r="C6" s="6"/>
      <c r="D6" s="6"/>
      <c r="E6" s="6"/>
      <c r="F6" s="6"/>
      <c r="G6" s="6"/>
      <c r="H6" s="6"/>
      <c r="I6" s="6"/>
      <c r="J6" s="6"/>
      <c r="K6" s="6"/>
      <c r="L6" s="6"/>
      <c r="M6" s="6"/>
      <c r="N6" s="6"/>
      <c r="O6" s="6"/>
      <c r="P6" s="6"/>
      <c r="Q6" s="6"/>
      <c r="R6" s="6"/>
      <c r="S6" s="6"/>
      <c r="T6" s="6"/>
      <c r="U6" s="6"/>
      <c r="V6" s="6"/>
      <c r="W6" s="6"/>
    </row>
    <row r="7" spans="1:47" x14ac:dyDescent="0.35">
      <c r="A7" s="7"/>
      <c r="B7" s="6"/>
      <c r="C7" s="6"/>
      <c r="D7" s="6"/>
      <c r="E7" s="6"/>
      <c r="F7" s="6"/>
      <c r="G7" s="6"/>
      <c r="H7" s="6"/>
      <c r="I7" s="6"/>
      <c r="J7" s="6"/>
      <c r="K7" s="6"/>
      <c r="L7" s="6"/>
      <c r="M7" s="6"/>
      <c r="N7" s="6"/>
      <c r="O7" s="6"/>
      <c r="P7" s="6"/>
      <c r="Q7" s="6"/>
      <c r="R7" s="6"/>
      <c r="S7" s="6"/>
      <c r="T7" s="6"/>
      <c r="U7" s="6"/>
      <c r="V7" s="6"/>
      <c r="W7" s="6"/>
    </row>
    <row r="8" spans="1:47" x14ac:dyDescent="0.35">
      <c r="A8" s="6"/>
      <c r="B8" s="6"/>
      <c r="C8" s="6"/>
      <c r="D8" s="6"/>
      <c r="E8" s="6"/>
      <c r="F8" s="6"/>
      <c r="G8" s="6"/>
      <c r="H8" s="6"/>
      <c r="I8" s="6"/>
      <c r="J8" s="6"/>
      <c r="K8" s="6"/>
      <c r="L8" s="6"/>
      <c r="M8" s="6"/>
      <c r="N8" s="6"/>
      <c r="O8" s="6"/>
      <c r="P8" s="6"/>
      <c r="Q8" s="6"/>
      <c r="R8" s="6"/>
      <c r="S8" s="6"/>
      <c r="T8" s="6"/>
      <c r="U8" s="6"/>
      <c r="V8" s="6"/>
      <c r="W8" s="6"/>
    </row>
    <row r="9" spans="1:47" x14ac:dyDescent="0.35">
      <c r="A9" s="6"/>
      <c r="B9" s="6"/>
      <c r="C9" s="6"/>
      <c r="D9" s="6"/>
      <c r="E9" s="6"/>
      <c r="F9" s="6"/>
      <c r="G9" s="6"/>
      <c r="H9" s="6"/>
      <c r="I9" s="6"/>
      <c r="J9" s="6"/>
      <c r="K9" s="6"/>
      <c r="L9" s="6"/>
      <c r="M9" s="6"/>
      <c r="N9" s="6"/>
      <c r="O9" s="6"/>
      <c r="P9" s="6"/>
      <c r="Q9" s="6"/>
      <c r="R9" s="6"/>
      <c r="S9" s="6"/>
      <c r="T9" s="6"/>
      <c r="U9" s="6"/>
      <c r="V9" s="6"/>
      <c r="W9" s="6"/>
    </row>
    <row r="10" spans="1:47" x14ac:dyDescent="0.35">
      <c r="A10" s="1" t="s">
        <v>50</v>
      </c>
      <c r="B10" s="1"/>
      <c r="C10" s="1"/>
      <c r="D10" s="1"/>
      <c r="E10" s="1"/>
      <c r="F10" s="1"/>
      <c r="G10" s="1"/>
      <c r="H10" s="1"/>
      <c r="I10" s="1"/>
      <c r="J10" s="1"/>
      <c r="K10" s="1"/>
      <c r="L10" s="1"/>
      <c r="M10" s="1"/>
      <c r="N10" s="1"/>
      <c r="O10" s="1"/>
      <c r="P10" s="1"/>
      <c r="Q10" s="1"/>
      <c r="R10" s="1"/>
      <c r="S10" s="1"/>
      <c r="T10" s="1"/>
      <c r="U10" s="6"/>
      <c r="V10" s="6"/>
      <c r="W10" s="6"/>
    </row>
    <row r="11" spans="1:47" x14ac:dyDescent="0.35">
      <c r="A11" s="1" t="s">
        <v>27</v>
      </c>
      <c r="B11" s="1" t="s">
        <v>93</v>
      </c>
      <c r="C11" s="1"/>
      <c r="D11" s="1"/>
      <c r="E11" s="1"/>
      <c r="F11" s="1"/>
      <c r="G11" s="1"/>
      <c r="H11" s="1"/>
      <c r="I11" s="1"/>
      <c r="J11" s="1"/>
      <c r="K11" s="1" t="s">
        <v>28</v>
      </c>
      <c r="L11" s="1" t="s">
        <v>159</v>
      </c>
      <c r="M11" s="1"/>
      <c r="N11" s="1"/>
      <c r="O11" s="1"/>
      <c r="P11" s="1"/>
      <c r="Q11" s="1"/>
      <c r="R11" s="1"/>
      <c r="S11" s="1"/>
      <c r="T11" s="1"/>
      <c r="U11" s="6"/>
      <c r="V11" s="6"/>
      <c r="W11" s="6"/>
    </row>
    <row r="12" spans="1:47" x14ac:dyDescent="0.35">
      <c r="A12" s="6"/>
      <c r="B12" s="6"/>
      <c r="C12" s="6"/>
      <c r="D12" s="6"/>
      <c r="E12" s="6"/>
      <c r="F12" s="6"/>
      <c r="G12" s="6"/>
      <c r="H12" s="6"/>
      <c r="I12" s="6"/>
      <c r="J12" s="6"/>
      <c r="K12" s="6"/>
      <c r="L12" s="6"/>
      <c r="M12" s="6"/>
      <c r="N12" s="6"/>
      <c r="O12" s="6"/>
      <c r="P12" s="6"/>
      <c r="Q12" s="6"/>
      <c r="R12" s="6"/>
      <c r="S12" s="6"/>
      <c r="T12" s="6"/>
      <c r="U12" s="6"/>
      <c r="V12" s="6"/>
      <c r="W12" s="6"/>
    </row>
    <row r="13" spans="1:47" x14ac:dyDescent="0.35">
      <c r="A13" s="6"/>
      <c r="B13" s="6"/>
      <c r="C13" s="6"/>
      <c r="D13" s="6"/>
      <c r="E13" s="6"/>
      <c r="F13" s="6"/>
      <c r="G13" s="6"/>
      <c r="H13" s="6"/>
      <c r="I13" s="6"/>
      <c r="J13" s="6"/>
      <c r="K13" s="6"/>
      <c r="L13" s="6"/>
      <c r="M13" s="6"/>
      <c r="N13" s="6"/>
      <c r="O13" s="6"/>
      <c r="P13" s="6"/>
      <c r="Q13" s="6"/>
      <c r="R13" s="6"/>
      <c r="S13" s="6"/>
      <c r="T13" s="6"/>
      <c r="U13" s="6"/>
      <c r="V13" s="6"/>
      <c r="W13" s="6"/>
    </row>
    <row r="14" spans="1:47" x14ac:dyDescent="0.35">
      <c r="A14" s="6"/>
      <c r="B14" s="6"/>
      <c r="C14" s="6"/>
      <c r="D14" s="6"/>
      <c r="E14" s="6"/>
      <c r="F14" s="6"/>
      <c r="G14" s="6"/>
      <c r="H14" s="6"/>
      <c r="I14" s="6"/>
      <c r="J14" s="6"/>
      <c r="K14" s="6"/>
      <c r="L14" s="6"/>
      <c r="M14" s="6"/>
      <c r="N14" s="6"/>
      <c r="O14" s="6"/>
      <c r="P14" s="6"/>
      <c r="Q14" s="6"/>
      <c r="R14" s="6"/>
      <c r="S14" s="6"/>
      <c r="T14" s="6"/>
      <c r="U14" s="6"/>
      <c r="V14" s="6"/>
      <c r="W14" s="6"/>
      <c r="AB14" s="27">
        <f t="shared" ref="AB14:AS14" si="0">AC14-1</f>
        <v>33</v>
      </c>
      <c r="AC14" s="27">
        <f t="shared" si="0"/>
        <v>34</v>
      </c>
      <c r="AD14" s="27">
        <f t="shared" si="0"/>
        <v>35</v>
      </c>
      <c r="AE14" s="27">
        <f t="shared" si="0"/>
        <v>36</v>
      </c>
      <c r="AF14" s="27">
        <f t="shared" si="0"/>
        <v>37</v>
      </c>
      <c r="AG14" s="27">
        <f t="shared" si="0"/>
        <v>38</v>
      </c>
      <c r="AH14" s="27">
        <f t="shared" si="0"/>
        <v>39</v>
      </c>
      <c r="AI14" s="27">
        <f t="shared" si="0"/>
        <v>40</v>
      </c>
      <c r="AJ14" s="27">
        <f t="shared" si="0"/>
        <v>41</v>
      </c>
      <c r="AK14" s="27">
        <f t="shared" si="0"/>
        <v>42</v>
      </c>
      <c r="AL14" s="27">
        <f t="shared" si="0"/>
        <v>43</v>
      </c>
      <c r="AM14" s="27">
        <f t="shared" si="0"/>
        <v>44</v>
      </c>
      <c r="AN14" s="27">
        <f t="shared" si="0"/>
        <v>45</v>
      </c>
      <c r="AO14" s="27">
        <f t="shared" si="0"/>
        <v>46</v>
      </c>
      <c r="AP14" s="27">
        <f t="shared" si="0"/>
        <v>47</v>
      </c>
      <c r="AQ14" s="27">
        <f t="shared" si="0"/>
        <v>48</v>
      </c>
      <c r="AR14" s="27">
        <f t="shared" si="0"/>
        <v>49</v>
      </c>
      <c r="AS14" s="27">
        <f t="shared" si="0"/>
        <v>50</v>
      </c>
      <c r="AT14" s="27">
        <f>AU14-1</f>
        <v>51</v>
      </c>
      <c r="AU14" s="27">
        <f>VLOOKUP(AU15,Dates!$A:$D,2,FALSE)</f>
        <v>52</v>
      </c>
    </row>
    <row r="15" spans="1:47" x14ac:dyDescent="0.35">
      <c r="A15" s="6"/>
      <c r="B15" s="6"/>
      <c r="C15" s="6"/>
      <c r="D15" s="6"/>
      <c r="E15" s="6"/>
      <c r="F15" s="6"/>
      <c r="G15" s="6"/>
      <c r="H15" s="6"/>
      <c r="I15" s="6"/>
      <c r="J15" s="6"/>
      <c r="K15" s="6"/>
      <c r="L15" s="6"/>
      <c r="M15" s="6"/>
      <c r="N15" s="6"/>
      <c r="O15" s="6"/>
      <c r="P15" s="6"/>
      <c r="Q15" s="6"/>
      <c r="R15" s="6"/>
      <c r="S15" s="6"/>
      <c r="T15" s="6"/>
      <c r="U15" s="6"/>
      <c r="V15" s="6"/>
      <c r="W15" s="6"/>
      <c r="AB15" s="27" t="str">
        <f>IFERROR(VLOOKUP(AB14,Dates!$B:$D,3,FALSE),"")</f>
        <v>1Q20</v>
      </c>
      <c r="AC15" s="27" t="str">
        <f>IFERROR(VLOOKUP(AC14,Dates!$B:$D,3,FALSE),"")</f>
        <v>2Q20</v>
      </c>
      <c r="AD15" s="27" t="str">
        <f>IFERROR(VLOOKUP(AD14,Dates!$B:$D,3,FALSE),"")</f>
        <v>3Q20</v>
      </c>
      <c r="AE15" s="27" t="str">
        <f>IFERROR(VLOOKUP(AE14,Dates!$B:$D,3,FALSE),"")</f>
        <v>4Q20</v>
      </c>
      <c r="AF15" s="27" t="str">
        <f>IFERROR(VLOOKUP(AF14,Dates!$B:$D,3,FALSE),"")</f>
        <v>1Q21</v>
      </c>
      <c r="AG15" s="27" t="str">
        <f>IFERROR(VLOOKUP(AG14,Dates!$B:$D,3,FALSE),"")</f>
        <v>2Q21</v>
      </c>
      <c r="AH15" s="27" t="str">
        <f>IFERROR(VLOOKUP(AH14,Dates!$B:$D,3,FALSE),"")</f>
        <v>3Q21</v>
      </c>
      <c r="AI15" s="27" t="str">
        <f>IFERROR(VLOOKUP(AI14,Dates!$B:$D,3,FALSE),"")</f>
        <v>4Q21</v>
      </c>
      <c r="AJ15" s="27" t="str">
        <f>IFERROR(VLOOKUP(AJ14,Dates!$B:$D,3,FALSE),"")</f>
        <v>1Q22</v>
      </c>
      <c r="AK15" s="27" t="str">
        <f>IFERROR(VLOOKUP(AK14,Dates!$B:$D,3,FALSE),"")</f>
        <v>2Q22</v>
      </c>
      <c r="AL15" s="27" t="str">
        <f>IFERROR(VLOOKUP(AL14,Dates!$B:$D,3,FALSE),"")</f>
        <v>3Q22</v>
      </c>
      <c r="AM15" s="27" t="str">
        <f>IFERROR(VLOOKUP(AM14,Dates!$B:$D,3,FALSE),"")</f>
        <v>4Q22</v>
      </c>
      <c r="AN15" s="27" t="str">
        <f>IFERROR(VLOOKUP(AN14,Dates!$B:$D,3,FALSE),"")</f>
        <v>1Q23</v>
      </c>
      <c r="AO15" s="27" t="str">
        <f>IFERROR(VLOOKUP(AO14,Dates!$B:$D,3,FALSE),"")</f>
        <v>2Q23</v>
      </c>
      <c r="AP15" s="27" t="str">
        <f>IFERROR(VLOOKUP(AP14,Dates!$B:$D,3,FALSE),"")</f>
        <v>3Q23</v>
      </c>
      <c r="AQ15" s="27" t="str">
        <f>IFERROR(VLOOKUP(AQ14,Dates!$B:$D,3,FALSE),"")</f>
        <v>4Q23</v>
      </c>
      <c r="AR15" s="27" t="str">
        <f>IFERROR(VLOOKUP(AR14,Dates!$B:$D,3,FALSE),"")</f>
        <v>1Q24</v>
      </c>
      <c r="AS15" s="27" t="str">
        <f>IFERROR(VLOOKUP(AS14,Dates!$B:$D,3,FALSE),"")</f>
        <v>2Q24</v>
      </c>
      <c r="AT15" s="27" t="str">
        <f>IFERROR(VLOOKUP(AT14,Dates!$B:$D,3,FALSE),"")</f>
        <v>3Q24</v>
      </c>
      <c r="AU15" s="28" t="str">
        <f>$G$3</f>
        <v>4Q24</v>
      </c>
    </row>
    <row r="16" spans="1:47" x14ac:dyDescent="0.35">
      <c r="A16" s="6"/>
      <c r="B16" s="6"/>
      <c r="C16" s="6"/>
      <c r="D16" s="6"/>
      <c r="E16" s="6"/>
      <c r="F16" s="6"/>
      <c r="G16" s="6"/>
      <c r="H16" s="6"/>
      <c r="I16" s="6"/>
      <c r="J16" s="6"/>
      <c r="K16" s="6"/>
      <c r="L16" s="6"/>
      <c r="M16" s="6"/>
      <c r="N16" s="6"/>
      <c r="O16" s="6"/>
      <c r="P16" s="6"/>
      <c r="Q16" s="6"/>
      <c r="R16" s="6"/>
      <c r="S16" s="6"/>
      <c r="T16" s="6"/>
      <c r="U16" s="6"/>
      <c r="V16" s="6"/>
      <c r="W16" s="6"/>
      <c r="AA16" s="29" t="str">
        <f>'Profit and Loss Highlights'!B32</f>
        <v>Gross Revenue</v>
      </c>
      <c r="AB16" s="30">
        <f>IFERROR(INDEX('Profit and Loss Highlights'!$A:$AAY,MATCH($AA16,'Profit and Loss Highlights'!$B:$B,0),MATCH(AB15,'Profit and Loss Highlights'!$1:$1,0)),"")</f>
        <v>2341</v>
      </c>
      <c r="AC16" s="30">
        <f>IFERROR(INDEX('Profit and Loss Highlights'!$A:$AAY,MATCH($AA16,'Profit and Loss Highlights'!$B:$B,0),MATCH(AC15,'Profit and Loss Highlights'!$1:$1,0)),"")</f>
        <v>2151</v>
      </c>
      <c r="AD16" s="30">
        <f>IFERROR(INDEX('Profit and Loss Highlights'!$A:$AAY,MATCH($AA16,'Profit and Loss Highlights'!$B:$B,0),MATCH(AD15,'Profit and Loss Highlights'!$1:$1,0)),"")</f>
        <v>2213</v>
      </c>
      <c r="AE16" s="30">
        <f>IFERROR(INDEX('Profit and Loss Highlights'!$A:$AAY,MATCH($AA16,'Profit and Loss Highlights'!$B:$B,0),MATCH(AE15,'Profit and Loss Highlights'!$1:$1,0)),"")</f>
        <v>2261</v>
      </c>
      <c r="AF16" s="30">
        <f>IFERROR(INDEX('Profit and Loss Highlights'!$A:$AAY,MATCH($AA16,'Profit and Loss Highlights'!$B:$B,0),MATCH(AF15,'Profit and Loss Highlights'!$1:$1,0)),"")</f>
        <v>2240</v>
      </c>
      <c r="AG16" s="30">
        <f>IFERROR(INDEX('Profit and Loss Highlights'!$A:$AAY,MATCH($AA16,'Profit and Loss Highlights'!$B:$B,0),MATCH(AG15,'Profit and Loss Highlights'!$1:$1,0)),"")</f>
        <v>2274</v>
      </c>
      <c r="AH16" s="30">
        <f>IFERROR(INDEX('Profit and Loss Highlights'!$A:$AAY,MATCH($AA16,'Profit and Loss Highlights'!$B:$B,0),MATCH(AH15,'Profit and Loss Highlights'!$1:$1,0)),"")</f>
        <v>2271</v>
      </c>
      <c r="AI16" s="30">
        <f>IFERROR(INDEX('Profit and Loss Highlights'!$A:$AAY,MATCH($AA16,'Profit and Loss Highlights'!$B:$B,0),MATCH(AI15,'Profit and Loss Highlights'!$1:$1,0)),"")</f>
        <v>2456</v>
      </c>
      <c r="AJ16" s="30">
        <f>IFERROR(INDEX('Profit and Loss Highlights'!$A:$AAY,MATCH($AA16,'Profit and Loss Highlights'!$B:$B,0),MATCH(AJ15,'Profit and Loss Highlights'!$1:$1,0)),"")</f>
        <v>2406</v>
      </c>
      <c r="AK16" s="30">
        <f>IFERROR(INDEX('Profit and Loss Highlights'!$A:$AAY,MATCH($AA16,'Profit and Loss Highlights'!$B:$B,0),MATCH(AK15,'Profit and Loss Highlights'!$1:$1,0)),"")</f>
        <v>2424</v>
      </c>
      <c r="AL16" s="30">
        <f>IFERROR(INDEX('Profit and Loss Highlights'!$A:$AAY,MATCH($AA16,'Profit and Loss Highlights'!$B:$B,0),MATCH(AL15,'Profit and Loss Highlights'!$1:$1,0)),"")</f>
        <v>2405</v>
      </c>
      <c r="AM16" s="30">
        <f>IFERROR(INDEX('Profit and Loss Highlights'!$A:$AAY,MATCH($AA16,'Profit and Loss Highlights'!$B:$B,0),MATCH(AM15,'Profit and Loss Highlights'!$1:$1,0)),"")</f>
        <v>2554</v>
      </c>
      <c r="AN16" s="30">
        <f>IFERROR(INDEX('Profit and Loss Highlights'!$A:$AAY,MATCH($AA16,'Profit and Loss Highlights'!$B:$B,0),MATCH(AN15,'Profit and Loss Highlights'!$1:$1,0)),"")</f>
        <v>2526</v>
      </c>
      <c r="AO16" s="30">
        <f>IFERROR(INDEX('Profit and Loss Highlights'!$A:$AAY,MATCH($AA16,'Profit and Loss Highlights'!$B:$B,0),MATCH(AO15,'Profit and Loss Highlights'!$1:$1,0)),"")</f>
        <v>2470</v>
      </c>
      <c r="AP16" s="30">
        <f>IFERROR(INDEX('Profit and Loss Highlights'!$A:$AAY,MATCH($AA16,'Profit and Loss Highlights'!$B:$B,0),MATCH(AP15,'Profit and Loss Highlights'!$1:$1,0)),"")</f>
        <v>2442</v>
      </c>
      <c r="AQ16" s="30">
        <f>IFERROR(INDEX('Profit and Loss Highlights'!$A:$AAY,MATCH($AA16,'Profit and Loss Highlights'!$B:$B,0),MATCH(AQ15,'Profit and Loss Highlights'!$1:$1,0)),"")</f>
        <v>2742</v>
      </c>
      <c r="AR16" s="30">
        <f>IFERROR(INDEX('Profit and Loss Highlights'!$A:$AAY,MATCH($AA16,'Profit and Loss Highlights'!$B:$B,0),MATCH(AR15,'Profit and Loss Highlights'!$1:$1,0)),"")</f>
        <v>2603</v>
      </c>
      <c r="AS16" s="30">
        <f>IFERROR(INDEX('Profit and Loss Highlights'!$A:$AAY,MATCH($AA16,'Profit and Loss Highlights'!$B:$B,0),MATCH(AS15,'Profit and Loss Highlights'!$1:$1,0)),"")</f>
        <v>2586</v>
      </c>
      <c r="AT16" s="30">
        <f>IFERROR(INDEX('Profit and Loss Highlights'!$A:$AAY,MATCH($AA16,'Profit and Loss Highlights'!$B:$B,0),MATCH(AT15,'Profit and Loss Highlights'!$1:$1,0)),"")</f>
        <v>2576</v>
      </c>
      <c r="AU16" s="30">
        <f>IFERROR(INDEX('Profit and Loss Highlights'!$A:$AAY,MATCH($AA16,'Profit and Loss Highlights'!$B:$B,0),MATCH(AU15,'Profit and Loss Highlights'!$1:$1,0)),"")</f>
        <v>2771</v>
      </c>
    </row>
    <row r="17" spans="1:47" x14ac:dyDescent="0.35">
      <c r="A17" s="6"/>
      <c r="B17" s="6"/>
      <c r="C17" s="6"/>
      <c r="D17" s="6"/>
      <c r="E17" s="6"/>
      <c r="F17" s="6"/>
      <c r="G17" s="6"/>
      <c r="H17" s="6"/>
      <c r="I17" s="6"/>
      <c r="J17" s="6"/>
      <c r="K17" s="6"/>
      <c r="L17" s="6"/>
      <c r="M17" s="6"/>
      <c r="N17" s="6"/>
      <c r="O17" s="6"/>
      <c r="P17" s="6"/>
      <c r="Q17" s="6"/>
      <c r="R17" s="6"/>
      <c r="S17" s="6"/>
      <c r="T17" s="6"/>
      <c r="U17" s="6"/>
      <c r="V17" s="6"/>
      <c r="W17" s="6"/>
    </row>
    <row r="18" spans="1:47" x14ac:dyDescent="0.35">
      <c r="A18" s="6"/>
      <c r="B18" s="6"/>
      <c r="C18" s="6"/>
      <c r="D18" s="6"/>
      <c r="E18" s="6"/>
      <c r="F18" s="6"/>
      <c r="G18" s="6"/>
      <c r="H18" s="6"/>
      <c r="I18" s="6"/>
      <c r="J18" s="6"/>
      <c r="K18" s="6"/>
      <c r="L18" s="6"/>
      <c r="M18" s="6"/>
      <c r="N18" s="6"/>
      <c r="O18" s="6"/>
      <c r="P18" s="6"/>
      <c r="Q18" s="6"/>
      <c r="R18" s="6"/>
      <c r="S18" s="6"/>
      <c r="T18" s="6"/>
      <c r="U18" s="6"/>
      <c r="V18" s="6"/>
      <c r="W18" s="6"/>
    </row>
    <row r="19" spans="1:47" x14ac:dyDescent="0.35">
      <c r="A19" s="6"/>
      <c r="B19" s="6"/>
      <c r="C19" s="6"/>
      <c r="D19" s="6"/>
      <c r="E19" s="6"/>
      <c r="F19" s="6"/>
      <c r="G19" s="6"/>
      <c r="H19" s="6"/>
      <c r="I19" s="6"/>
      <c r="J19" s="6"/>
      <c r="K19" s="6"/>
      <c r="L19" s="6"/>
      <c r="M19" s="6"/>
      <c r="N19" s="6"/>
      <c r="O19" s="6"/>
      <c r="P19" s="6"/>
      <c r="Q19" s="6"/>
      <c r="R19" s="6"/>
      <c r="S19" s="6"/>
      <c r="T19" s="6"/>
      <c r="U19" s="6"/>
      <c r="V19" s="6"/>
      <c r="W19" s="6"/>
    </row>
    <row r="20" spans="1:47" x14ac:dyDescent="0.35">
      <c r="A20" s="6"/>
      <c r="B20" s="6"/>
      <c r="C20" s="6"/>
      <c r="D20" s="6"/>
      <c r="E20" s="6"/>
      <c r="F20" s="6"/>
      <c r="G20" s="6"/>
      <c r="H20" s="6"/>
      <c r="I20" s="6"/>
      <c r="J20" s="6"/>
      <c r="K20" s="6"/>
      <c r="L20" s="6"/>
      <c r="M20" s="6"/>
      <c r="N20" s="6"/>
      <c r="O20" s="6"/>
      <c r="P20" s="6"/>
      <c r="Q20" s="6"/>
      <c r="R20" s="6"/>
      <c r="S20" s="6"/>
      <c r="T20" s="6"/>
      <c r="U20" s="6"/>
      <c r="V20" s="6"/>
      <c r="W20" s="6"/>
      <c r="AB20" s="27">
        <f t="shared" ref="AB20" si="1">AC20-1</f>
        <v>33</v>
      </c>
      <c r="AC20" s="27">
        <f t="shared" ref="AC20" si="2">AD20-1</f>
        <v>34</v>
      </c>
      <c r="AD20" s="27">
        <f t="shared" ref="AD20" si="3">AE20-1</f>
        <v>35</v>
      </c>
      <c r="AE20" s="27">
        <f t="shared" ref="AE20" si="4">AF20-1</f>
        <v>36</v>
      </c>
      <c r="AF20" s="27">
        <f t="shared" ref="AF20" si="5">AG20-1</f>
        <v>37</v>
      </c>
      <c r="AG20" s="27">
        <f t="shared" ref="AG20" si="6">AH20-1</f>
        <v>38</v>
      </c>
      <c r="AH20" s="27">
        <f t="shared" ref="AH20" si="7">AI20-1</f>
        <v>39</v>
      </c>
      <c r="AI20" s="27">
        <f t="shared" ref="AI20" si="8">AJ20-1</f>
        <v>40</v>
      </c>
      <c r="AJ20" s="27">
        <f t="shared" ref="AJ20" si="9">AK20-1</f>
        <v>41</v>
      </c>
      <c r="AK20" s="27">
        <f t="shared" ref="AK20" si="10">AL20-1</f>
        <v>42</v>
      </c>
      <c r="AL20" s="27">
        <f t="shared" ref="AL20" si="11">AM20-1</f>
        <v>43</v>
      </c>
      <c r="AM20" s="27">
        <f t="shared" ref="AM20" si="12">AN20-1</f>
        <v>44</v>
      </c>
      <c r="AN20" s="27">
        <f t="shared" ref="AN20" si="13">AO20-1</f>
        <v>45</v>
      </c>
      <c r="AO20" s="27">
        <f t="shared" ref="AO20" si="14">AP20-1</f>
        <v>46</v>
      </c>
      <c r="AP20" s="27">
        <f t="shared" ref="AP20" si="15">AQ20-1</f>
        <v>47</v>
      </c>
      <c r="AQ20" s="27">
        <f t="shared" ref="AQ20" si="16">AR20-1</f>
        <v>48</v>
      </c>
      <c r="AR20" s="27">
        <f t="shared" ref="AR20" si="17">AS20-1</f>
        <v>49</v>
      </c>
      <c r="AS20" s="27">
        <f t="shared" ref="AS20" si="18">AT20-1</f>
        <v>50</v>
      </c>
      <c r="AT20" s="27">
        <f>AU20-1</f>
        <v>51</v>
      </c>
      <c r="AU20" s="27">
        <f>VLOOKUP(AU21,Dates!$A:$D,2,FALSE)</f>
        <v>52</v>
      </c>
    </row>
    <row r="21" spans="1:47" x14ac:dyDescent="0.35">
      <c r="A21" s="6"/>
      <c r="B21" s="6"/>
      <c r="C21" s="6"/>
      <c r="D21" s="6"/>
      <c r="E21" s="6"/>
      <c r="F21" s="6"/>
      <c r="G21" s="6"/>
      <c r="H21" s="6"/>
      <c r="I21" s="6"/>
      <c r="J21" s="6"/>
      <c r="K21" s="6"/>
      <c r="L21" s="6"/>
      <c r="M21" s="6"/>
      <c r="N21" s="6"/>
      <c r="O21" s="6"/>
      <c r="P21" s="6"/>
      <c r="Q21" s="6"/>
      <c r="R21" s="6"/>
      <c r="S21" s="6"/>
      <c r="T21" s="6"/>
      <c r="U21" s="6"/>
      <c r="V21" s="6"/>
      <c r="W21" s="6"/>
      <c r="AB21" s="27" t="str">
        <f>IFERROR(VLOOKUP(AB20,Dates!$B:$D,3,FALSE),"")</f>
        <v>1Q20</v>
      </c>
      <c r="AC21" s="27" t="str">
        <f>IFERROR(VLOOKUP(AC20,Dates!$B:$D,3,FALSE),"")</f>
        <v>2Q20</v>
      </c>
      <c r="AD21" s="27" t="str">
        <f>IFERROR(VLOOKUP(AD20,Dates!$B:$D,3,FALSE),"")</f>
        <v>3Q20</v>
      </c>
      <c r="AE21" s="27" t="str">
        <f>IFERROR(VLOOKUP(AE20,Dates!$B:$D,3,FALSE),"")</f>
        <v>4Q20</v>
      </c>
      <c r="AF21" s="27" t="str">
        <f>IFERROR(VLOOKUP(AF20,Dates!$B:$D,3,FALSE),"")</f>
        <v>1Q21</v>
      </c>
      <c r="AG21" s="27" t="str">
        <f>IFERROR(VLOOKUP(AG20,Dates!$B:$D,3,FALSE),"")</f>
        <v>2Q21</v>
      </c>
      <c r="AH21" s="27" t="str">
        <f>IFERROR(VLOOKUP(AH20,Dates!$B:$D,3,FALSE),"")</f>
        <v>3Q21</v>
      </c>
      <c r="AI21" s="27" t="str">
        <f>IFERROR(VLOOKUP(AI20,Dates!$B:$D,3,FALSE),"")</f>
        <v>4Q21</v>
      </c>
      <c r="AJ21" s="27" t="str">
        <f>IFERROR(VLOOKUP(AJ20,Dates!$B:$D,3,FALSE),"")</f>
        <v>1Q22</v>
      </c>
      <c r="AK21" s="27" t="str">
        <f>IFERROR(VLOOKUP(AK20,Dates!$B:$D,3,FALSE),"")</f>
        <v>2Q22</v>
      </c>
      <c r="AL21" s="27" t="str">
        <f>IFERROR(VLOOKUP(AL20,Dates!$B:$D,3,FALSE),"")</f>
        <v>3Q22</v>
      </c>
      <c r="AM21" s="27" t="str">
        <f>IFERROR(VLOOKUP(AM20,Dates!$B:$D,3,FALSE),"")</f>
        <v>4Q22</v>
      </c>
      <c r="AN21" s="27" t="str">
        <f>IFERROR(VLOOKUP(AN20,Dates!$B:$D,3,FALSE),"")</f>
        <v>1Q23</v>
      </c>
      <c r="AO21" s="27" t="str">
        <f>IFERROR(VLOOKUP(AO20,Dates!$B:$D,3,FALSE),"")</f>
        <v>2Q23</v>
      </c>
      <c r="AP21" s="27" t="str">
        <f>IFERROR(VLOOKUP(AP20,Dates!$B:$D,3,FALSE),"")</f>
        <v>3Q23</v>
      </c>
      <c r="AQ21" s="27" t="str">
        <f>IFERROR(VLOOKUP(AQ20,Dates!$B:$D,3,FALSE),"")</f>
        <v>4Q23</v>
      </c>
      <c r="AR21" s="27" t="str">
        <f>IFERROR(VLOOKUP(AR20,Dates!$B:$D,3,FALSE),"")</f>
        <v>1Q24</v>
      </c>
      <c r="AS21" s="27" t="str">
        <f>IFERROR(VLOOKUP(AS20,Dates!$B:$D,3,FALSE),"")</f>
        <v>2Q24</v>
      </c>
      <c r="AT21" s="27" t="str">
        <f>IFERROR(VLOOKUP(AT20,Dates!$B:$D,3,FALSE),"")</f>
        <v>3Q24</v>
      </c>
      <c r="AU21" s="28" t="str">
        <f>$G$3</f>
        <v>4Q24</v>
      </c>
    </row>
    <row r="22" spans="1:47" x14ac:dyDescent="0.35">
      <c r="A22" s="6"/>
      <c r="B22" s="6"/>
      <c r="C22" s="6"/>
      <c r="D22" s="6"/>
      <c r="E22" s="6"/>
      <c r="F22" s="6"/>
      <c r="G22" s="6"/>
      <c r="H22" s="6"/>
      <c r="I22" s="6"/>
      <c r="J22" s="6"/>
      <c r="K22" s="6"/>
      <c r="L22" s="6"/>
      <c r="M22" s="6"/>
      <c r="N22" s="6"/>
      <c r="O22" s="6"/>
      <c r="P22" s="6"/>
      <c r="Q22" s="6"/>
      <c r="R22" s="6"/>
      <c r="S22" s="6"/>
      <c r="T22" s="6"/>
      <c r="U22" s="6"/>
      <c r="V22" s="6"/>
      <c r="W22" s="6"/>
      <c r="AA22" s="29" t="str">
        <f>'Profit and Loss Highlights'!B117</f>
        <v>Group Total Revenue Growth YoY</v>
      </c>
      <c r="AB22" s="31">
        <f>IFERROR(INDEX('Profit and Loss Highlights'!$A:$AAY,MATCH($AA22,'Profit and Loss Highlights'!$B:$B,0),MATCH(AB21,'Profit and Loss Highlights'!$1:$1,0)),"")</f>
        <v>4.8835125448028593E-2</v>
      </c>
      <c r="AC22" s="31">
        <f>IFERROR(INDEX('Profit and Loss Highlights'!$A:$AAY,MATCH($AA22,'Profit and Loss Highlights'!$B:$B,0),MATCH(AC21,'Profit and Loss Highlights'!$1:$1,0)),"")</f>
        <v>-2.4932003626473298E-2</v>
      </c>
      <c r="AD22" s="31">
        <f>IFERROR(INDEX('Profit and Loss Highlights'!$A:$AAY,MATCH($AA22,'Profit and Loss Highlights'!$B:$B,0),MATCH(AD21,'Profit and Loss Highlights'!$1:$1,0)),"")</f>
        <v>-3.1509846827133425E-2</v>
      </c>
      <c r="AE22" s="31">
        <f>IFERROR(INDEX('Profit and Loss Highlights'!$A:$AAY,MATCH($AA22,'Profit and Loss Highlights'!$B:$B,0),MATCH(AE21,'Profit and Loss Highlights'!$1:$1,0)),"")</f>
        <v>-0.12702702702702706</v>
      </c>
      <c r="AF22" s="31">
        <f>IFERROR(INDEX('Profit and Loss Highlights'!$A:$AAY,MATCH($AA22,'Profit and Loss Highlights'!$B:$B,0),MATCH(AF21,'Profit and Loss Highlights'!$1:$1,0)),"")</f>
        <v>-4.314395557454076E-2</v>
      </c>
      <c r="AG22" s="31">
        <f>IFERROR(INDEX('Profit and Loss Highlights'!$A:$AAY,MATCH($AA22,'Profit and Loss Highlights'!$B:$B,0),MATCH(AG21,'Profit and Loss Highlights'!$1:$1,0)),"")</f>
        <v>5.7182705718270554E-2</v>
      </c>
      <c r="AH22" s="31">
        <f>IFERROR(INDEX('Profit and Loss Highlights'!$A:$AAY,MATCH($AA22,'Profit and Loss Highlights'!$B:$B,0),MATCH(AH21,'Profit and Loss Highlights'!$1:$1,0)),"")</f>
        <v>2.6208766380479087E-2</v>
      </c>
      <c r="AI22" s="31">
        <f>IFERROR(INDEX('Profit and Loss Highlights'!$A:$AAY,MATCH($AA22,'Profit and Loss Highlights'!$B:$B,0),MATCH(AI21,'Profit and Loss Highlights'!$1:$1,0)),"")</f>
        <v>8.6245024325519726E-2</v>
      </c>
      <c r="AJ22" s="31">
        <f>IFERROR(INDEX('Profit and Loss Highlights'!$A:$AAY,MATCH($AA22,'Profit and Loss Highlights'!$B:$B,0),MATCH(AJ21,'Profit and Loss Highlights'!$1:$1,0)),"")</f>
        <v>7.4107142857142927E-2</v>
      </c>
      <c r="AK22" s="31">
        <f>IFERROR(INDEX('Profit and Loss Highlights'!$A:$AAY,MATCH($AA22,'Profit and Loss Highlights'!$B:$B,0),MATCH(AK21,'Profit and Loss Highlights'!$1:$1,0)),"")</f>
        <v>6.5963060686015762E-2</v>
      </c>
      <c r="AL22" s="31">
        <f>IFERROR(INDEX('Profit and Loss Highlights'!$A:$AAY,MATCH($AA22,'Profit and Loss Highlights'!$B:$B,0),MATCH(AL21,'Profit and Loss Highlights'!$1:$1,0)),"")</f>
        <v>5.9004843681197627E-2</v>
      </c>
      <c r="AM22" s="31">
        <f>IFERROR(INDEX('Profit and Loss Highlights'!$A:$AAY,MATCH($AA22,'Profit and Loss Highlights'!$B:$B,0),MATCH(AM21,'Profit and Loss Highlights'!$1:$1,0)),"")</f>
        <v>3.9902280130293066E-2</v>
      </c>
      <c r="AN22" s="31">
        <f>IFERROR(INDEX('Profit and Loss Highlights'!$A:$AAY,MATCH($AA22,'Profit and Loss Highlights'!$B:$B,0),MATCH(AN21,'Profit and Loss Highlights'!$1:$1,0)),"")</f>
        <v>4.9875311720698257E-2</v>
      </c>
      <c r="AO22" s="31">
        <f>IFERROR(INDEX('Profit and Loss Highlights'!$A:$AAY,MATCH($AA22,'Profit and Loss Highlights'!$B:$B,0),MATCH(AO21,'Profit and Loss Highlights'!$1:$1,0)),"")</f>
        <v>1.8976897689769068E-2</v>
      </c>
      <c r="AP22" s="31">
        <f>IFERROR(INDEX('Profit and Loss Highlights'!$A:$AAY,MATCH($AA22,'Profit and Loss Highlights'!$B:$B,0),MATCH(AP21,'Profit and Loss Highlights'!$1:$1,0)),"")</f>
        <v>1.538461538461533E-2</v>
      </c>
      <c r="AQ22" s="31">
        <f>IFERROR(INDEX('Profit and Loss Highlights'!$A:$AAY,MATCH($AA22,'Profit and Loss Highlights'!$B:$B,0),MATCH(AQ21,'Profit and Loss Highlights'!$1:$1,0)),"")</f>
        <v>7.3610023492560739E-2</v>
      </c>
      <c r="AR22" s="31">
        <f>IFERROR(INDEX('Profit and Loss Highlights'!$A:$AAY,MATCH($AA22,'Profit and Loss Highlights'!$B:$B,0),MATCH(AR21,'Profit and Loss Highlights'!$1:$1,0)),"")</f>
        <v>3.0482977038796433E-2</v>
      </c>
      <c r="AS22" s="31">
        <f>IFERROR(INDEX('Profit and Loss Highlights'!$A:$AAY,MATCH($AA22,'Profit and Loss Highlights'!$B:$B,0),MATCH(AS21,'Profit and Loss Highlights'!$1:$1,0)),"")</f>
        <v>4.6963562753036481E-2</v>
      </c>
      <c r="AT22" s="31">
        <f>IFERROR(INDEX('Profit and Loss Highlights'!$A:$AAY,MATCH($AA22,'Profit and Loss Highlights'!$B:$B,0),MATCH(AT21,'Profit and Loss Highlights'!$1:$1,0)),"")</f>
        <v>5.4873054873054938E-2</v>
      </c>
      <c r="AU22" s="31">
        <f>IFERROR(INDEX('Profit and Loss Highlights'!$A:$AAY,MATCH($AA22,'Profit and Loss Highlights'!$B:$B,0),MATCH(AU21,'Profit and Loss Highlights'!$1:$1,0)),"")</f>
        <v>1.0576221735959068E-2</v>
      </c>
    </row>
    <row r="23" spans="1:47" x14ac:dyDescent="0.35">
      <c r="A23" s="6"/>
      <c r="B23" s="6"/>
      <c r="C23" s="6"/>
      <c r="D23" s="6"/>
      <c r="E23" s="6"/>
      <c r="F23" s="6"/>
      <c r="G23" s="6"/>
      <c r="H23" s="6"/>
      <c r="I23" s="6"/>
      <c r="J23" s="6"/>
      <c r="K23" s="6"/>
      <c r="L23" s="6"/>
      <c r="M23" s="6"/>
      <c r="N23" s="6"/>
      <c r="O23" s="6"/>
      <c r="P23" s="6"/>
      <c r="Q23" s="6"/>
      <c r="R23" s="6"/>
      <c r="S23" s="6"/>
      <c r="T23" s="6"/>
      <c r="U23" s="6"/>
      <c r="V23" s="6"/>
      <c r="W23" s="6"/>
    </row>
    <row r="24" spans="1:47" x14ac:dyDescent="0.35">
      <c r="A24" s="6"/>
      <c r="B24" s="6"/>
      <c r="C24" s="6"/>
      <c r="D24" s="6"/>
      <c r="E24" s="6"/>
      <c r="F24" s="6"/>
      <c r="G24" s="6"/>
      <c r="H24" s="6"/>
      <c r="I24" s="6"/>
      <c r="J24" s="6"/>
      <c r="K24" s="6"/>
      <c r="L24" s="6"/>
      <c r="M24" s="6"/>
      <c r="N24" s="6"/>
      <c r="O24" s="6"/>
      <c r="P24" s="6"/>
      <c r="Q24" s="6"/>
      <c r="R24" s="6"/>
      <c r="S24" s="6"/>
      <c r="T24" s="6"/>
      <c r="U24" s="6"/>
      <c r="V24" s="6"/>
      <c r="W24" s="6"/>
    </row>
    <row r="25" spans="1:47" x14ac:dyDescent="0.35">
      <c r="A25" s="6"/>
      <c r="B25" s="6"/>
      <c r="C25" s="6"/>
      <c r="D25" s="6"/>
      <c r="E25" s="6"/>
      <c r="F25" s="6"/>
      <c r="G25" s="6"/>
      <c r="H25" s="6"/>
      <c r="I25" s="6"/>
      <c r="J25" s="6"/>
      <c r="K25" s="6"/>
      <c r="L25" s="6"/>
      <c r="M25" s="6"/>
      <c r="N25" s="6"/>
      <c r="O25" s="6"/>
      <c r="P25" s="6"/>
      <c r="Q25" s="6"/>
      <c r="R25" s="6"/>
      <c r="S25" s="6"/>
      <c r="T25" s="6"/>
      <c r="U25" s="6"/>
      <c r="V25" s="6"/>
      <c r="W25" s="6"/>
    </row>
    <row r="26" spans="1:47" x14ac:dyDescent="0.35">
      <c r="A26" s="6"/>
      <c r="B26" s="6"/>
      <c r="C26" s="6"/>
      <c r="D26" s="6"/>
      <c r="E26" s="6"/>
      <c r="F26" s="6"/>
      <c r="G26" s="6"/>
      <c r="H26" s="6"/>
      <c r="I26" s="6"/>
      <c r="J26" s="6"/>
      <c r="K26" s="6"/>
      <c r="L26" s="6"/>
      <c r="M26" s="6"/>
      <c r="N26" s="6"/>
      <c r="O26" s="6"/>
      <c r="P26" s="6"/>
      <c r="Q26" s="6"/>
      <c r="R26" s="6"/>
      <c r="S26" s="6"/>
      <c r="T26" s="6"/>
      <c r="U26" s="6"/>
      <c r="V26" s="6"/>
      <c r="W26" s="6"/>
    </row>
    <row r="27" spans="1:47" x14ac:dyDescent="0.35">
      <c r="A27" s="6"/>
      <c r="B27" s="6"/>
      <c r="C27" s="6"/>
      <c r="D27" s="6"/>
      <c r="E27" s="6"/>
      <c r="F27" s="6"/>
      <c r="G27" s="6"/>
      <c r="H27" s="6"/>
      <c r="I27" s="6"/>
      <c r="J27" s="6"/>
      <c r="K27" s="6"/>
      <c r="L27" s="6"/>
      <c r="M27" s="6"/>
      <c r="N27" s="6"/>
      <c r="O27" s="6"/>
      <c r="P27" s="6"/>
      <c r="Q27" s="6"/>
      <c r="R27" s="6"/>
      <c r="S27" s="6"/>
      <c r="T27" s="6"/>
      <c r="U27" s="6"/>
      <c r="V27" s="6"/>
      <c r="W27" s="6"/>
    </row>
    <row r="28" spans="1:47" x14ac:dyDescent="0.35">
      <c r="A28" s="6"/>
      <c r="B28" s="6"/>
      <c r="C28" s="6"/>
      <c r="D28" s="6"/>
      <c r="E28" s="6"/>
      <c r="F28" s="6"/>
      <c r="G28" s="6"/>
      <c r="H28" s="6"/>
      <c r="I28" s="6"/>
      <c r="J28" s="6"/>
      <c r="K28" s="6"/>
      <c r="L28" s="6"/>
      <c r="M28" s="6"/>
      <c r="N28" s="6"/>
      <c r="O28" s="6"/>
      <c r="P28" s="6"/>
      <c r="Q28" s="6"/>
      <c r="R28" s="6"/>
      <c r="S28" s="6"/>
      <c r="T28" s="6"/>
      <c r="U28" s="6"/>
      <c r="V28" s="6"/>
      <c r="W28" s="6"/>
    </row>
    <row r="29" spans="1:47" x14ac:dyDescent="0.35">
      <c r="A29" s="6"/>
      <c r="B29" s="6"/>
      <c r="C29" s="6"/>
      <c r="D29" s="6"/>
      <c r="E29" s="6"/>
      <c r="F29" s="6"/>
      <c r="G29" s="6"/>
      <c r="H29" s="6"/>
      <c r="I29" s="6"/>
      <c r="J29" s="6"/>
      <c r="K29" s="6"/>
      <c r="L29" s="6"/>
      <c r="M29" s="6"/>
      <c r="N29" s="6"/>
      <c r="O29" s="6"/>
      <c r="P29" s="6"/>
      <c r="Q29" s="6"/>
      <c r="R29" s="6"/>
      <c r="S29" s="6"/>
      <c r="T29" s="6"/>
      <c r="U29" s="6"/>
      <c r="V29" s="6"/>
      <c r="W29" s="6"/>
    </row>
    <row r="30" spans="1:47" x14ac:dyDescent="0.35">
      <c r="A30" s="1" t="s">
        <v>29</v>
      </c>
      <c r="B30" s="1" t="s">
        <v>160</v>
      </c>
      <c r="C30" s="1"/>
      <c r="D30" s="1"/>
      <c r="E30" s="1"/>
      <c r="F30" s="1"/>
      <c r="G30" s="1"/>
      <c r="H30" s="1"/>
      <c r="I30" s="1"/>
      <c r="J30" s="1"/>
      <c r="K30" s="1" t="s">
        <v>30</v>
      </c>
      <c r="L30" s="1" t="s">
        <v>158</v>
      </c>
      <c r="M30" s="1"/>
      <c r="N30" s="1"/>
      <c r="O30" s="1"/>
      <c r="P30" s="1"/>
      <c r="Q30" s="1"/>
      <c r="R30" s="1"/>
      <c r="S30" s="1"/>
      <c r="T30" s="1"/>
      <c r="U30" s="6"/>
      <c r="V30" s="6"/>
      <c r="W30" s="6"/>
    </row>
    <row r="31" spans="1:47" x14ac:dyDescent="0.35">
      <c r="A31" s="6"/>
      <c r="B31" s="6"/>
      <c r="C31" s="6"/>
      <c r="D31" s="6"/>
      <c r="E31" s="6"/>
      <c r="F31" s="6"/>
      <c r="G31" s="6"/>
      <c r="H31" s="6"/>
      <c r="I31" s="6"/>
      <c r="J31" s="6"/>
      <c r="K31" s="6"/>
      <c r="L31" s="6"/>
      <c r="M31" s="6"/>
      <c r="N31" s="6"/>
      <c r="O31" s="6"/>
      <c r="P31" s="6"/>
      <c r="Q31" s="6"/>
      <c r="R31" s="6"/>
      <c r="S31" s="6"/>
      <c r="T31" s="6"/>
      <c r="U31" s="6"/>
      <c r="V31" s="6"/>
      <c r="W31" s="6"/>
    </row>
    <row r="32" spans="1:47" x14ac:dyDescent="0.35">
      <c r="A32" s="6"/>
      <c r="B32" s="6"/>
      <c r="C32" s="6"/>
      <c r="D32" s="6"/>
      <c r="E32" s="6"/>
      <c r="F32" s="6"/>
      <c r="G32" s="6"/>
      <c r="H32" s="6"/>
      <c r="I32" s="6"/>
      <c r="J32" s="6"/>
      <c r="K32" s="6"/>
      <c r="L32" s="6"/>
      <c r="M32" s="6"/>
      <c r="N32" s="6"/>
      <c r="O32" s="6"/>
      <c r="P32" s="6"/>
      <c r="Q32" s="6"/>
      <c r="R32" s="6"/>
      <c r="S32" s="6"/>
      <c r="T32" s="6"/>
      <c r="U32" s="6"/>
      <c r="V32" s="6"/>
      <c r="W32" s="6"/>
    </row>
    <row r="33" spans="1:47" x14ac:dyDescent="0.35">
      <c r="A33" s="6"/>
      <c r="B33" s="6"/>
      <c r="C33" s="6"/>
      <c r="D33" s="6"/>
      <c r="E33" s="6"/>
      <c r="F33" s="6"/>
      <c r="G33" s="6"/>
      <c r="H33" s="6"/>
      <c r="I33" s="6"/>
      <c r="J33" s="6"/>
      <c r="K33" s="6"/>
      <c r="L33" s="6"/>
      <c r="M33" s="6"/>
      <c r="N33" s="6"/>
      <c r="O33" s="6"/>
      <c r="P33" s="6"/>
      <c r="Q33" s="6"/>
      <c r="R33" s="6"/>
      <c r="S33" s="6"/>
      <c r="T33" s="6"/>
      <c r="U33" s="6"/>
      <c r="V33" s="6"/>
      <c r="W33" s="6"/>
      <c r="AB33" s="27">
        <f t="shared" ref="AB33" si="19">AC33-1</f>
        <v>33</v>
      </c>
      <c r="AC33" s="27">
        <f t="shared" ref="AC33" si="20">AD33-1</f>
        <v>34</v>
      </c>
      <c r="AD33" s="27">
        <f t="shared" ref="AD33" si="21">AE33-1</f>
        <v>35</v>
      </c>
      <c r="AE33" s="27">
        <f t="shared" ref="AE33" si="22">AF33-1</f>
        <v>36</v>
      </c>
      <c r="AF33" s="27">
        <f t="shared" ref="AF33" si="23">AG33-1</f>
        <v>37</v>
      </c>
      <c r="AG33" s="27">
        <f t="shared" ref="AG33" si="24">AH33-1</f>
        <v>38</v>
      </c>
      <c r="AH33" s="27">
        <f t="shared" ref="AH33" si="25">AI33-1</f>
        <v>39</v>
      </c>
      <c r="AI33" s="27">
        <f t="shared" ref="AI33" si="26">AJ33-1</f>
        <v>40</v>
      </c>
      <c r="AJ33" s="27">
        <f t="shared" ref="AJ33" si="27">AK33-1</f>
        <v>41</v>
      </c>
      <c r="AK33" s="27">
        <f t="shared" ref="AK33" si="28">AL33-1</f>
        <v>42</v>
      </c>
      <c r="AL33" s="27">
        <f t="shared" ref="AL33" si="29">AM33-1</f>
        <v>43</v>
      </c>
      <c r="AM33" s="27">
        <f t="shared" ref="AM33" si="30">AN33-1</f>
        <v>44</v>
      </c>
      <c r="AN33" s="27">
        <f t="shared" ref="AN33" si="31">AO33-1</f>
        <v>45</v>
      </c>
      <c r="AO33" s="27">
        <f t="shared" ref="AO33" si="32">AP33-1</f>
        <v>46</v>
      </c>
      <c r="AP33" s="27">
        <f t="shared" ref="AP33" si="33">AQ33-1</f>
        <v>47</v>
      </c>
      <c r="AQ33" s="27">
        <f t="shared" ref="AQ33" si="34">AR33-1</f>
        <v>48</v>
      </c>
      <c r="AR33" s="27">
        <f t="shared" ref="AR33" si="35">AS33-1</f>
        <v>49</v>
      </c>
      <c r="AS33" s="27">
        <f t="shared" ref="AS33" si="36">AT33-1</f>
        <v>50</v>
      </c>
      <c r="AT33" s="27">
        <f>AU33-1</f>
        <v>51</v>
      </c>
      <c r="AU33" s="27">
        <f>VLOOKUP(AU34,Dates!$A:$D,2,FALSE)</f>
        <v>52</v>
      </c>
    </row>
    <row r="34" spans="1:47" x14ac:dyDescent="0.35">
      <c r="A34" s="6"/>
      <c r="B34" s="6"/>
      <c r="C34" s="6"/>
      <c r="D34" s="6"/>
      <c r="E34" s="6"/>
      <c r="F34" s="6"/>
      <c r="G34" s="6"/>
      <c r="H34" s="6"/>
      <c r="I34" s="6"/>
      <c r="J34" s="6"/>
      <c r="K34" s="6"/>
      <c r="L34" s="6"/>
      <c r="M34" s="6"/>
      <c r="N34" s="6"/>
      <c r="O34" s="6"/>
      <c r="P34" s="6"/>
      <c r="Q34" s="6"/>
      <c r="R34" s="6"/>
      <c r="S34" s="6"/>
      <c r="T34" s="6"/>
      <c r="U34" s="6"/>
      <c r="V34" s="6"/>
      <c r="W34" s="6"/>
      <c r="AB34" s="27" t="str">
        <f>IFERROR(VLOOKUP(AB33,Dates!$B:$D,3,FALSE),"")</f>
        <v>1Q20</v>
      </c>
      <c r="AC34" s="27" t="str">
        <f>IFERROR(VLOOKUP(AC33,Dates!$B:$D,3,FALSE),"")</f>
        <v>2Q20</v>
      </c>
      <c r="AD34" s="27" t="str">
        <f>IFERROR(VLOOKUP(AD33,Dates!$B:$D,3,FALSE),"")</f>
        <v>3Q20</v>
      </c>
      <c r="AE34" s="27" t="str">
        <f>IFERROR(VLOOKUP(AE33,Dates!$B:$D,3,FALSE),"")</f>
        <v>4Q20</v>
      </c>
      <c r="AF34" s="27" t="str">
        <f>IFERROR(VLOOKUP(AF33,Dates!$B:$D,3,FALSE),"")</f>
        <v>1Q21</v>
      </c>
      <c r="AG34" s="27" t="str">
        <f>IFERROR(VLOOKUP(AG33,Dates!$B:$D,3,FALSE),"")</f>
        <v>2Q21</v>
      </c>
      <c r="AH34" s="27" t="str">
        <f>IFERROR(VLOOKUP(AH33,Dates!$B:$D,3,FALSE),"")</f>
        <v>3Q21</v>
      </c>
      <c r="AI34" s="27" t="str">
        <f>IFERROR(VLOOKUP(AI33,Dates!$B:$D,3,FALSE),"")</f>
        <v>4Q21</v>
      </c>
      <c r="AJ34" s="27" t="str">
        <f>IFERROR(VLOOKUP(AJ33,Dates!$B:$D,3,FALSE),"")</f>
        <v>1Q22</v>
      </c>
      <c r="AK34" s="27" t="str">
        <f>IFERROR(VLOOKUP(AK33,Dates!$B:$D,3,FALSE),"")</f>
        <v>2Q22</v>
      </c>
      <c r="AL34" s="27" t="str">
        <f>IFERROR(VLOOKUP(AL33,Dates!$B:$D,3,FALSE),"")</f>
        <v>3Q22</v>
      </c>
      <c r="AM34" s="27" t="str">
        <f>IFERROR(VLOOKUP(AM33,Dates!$B:$D,3,FALSE),"")</f>
        <v>4Q22</v>
      </c>
      <c r="AN34" s="27" t="str">
        <f>IFERROR(VLOOKUP(AN33,Dates!$B:$D,3,FALSE),"")</f>
        <v>1Q23</v>
      </c>
      <c r="AO34" s="27" t="str">
        <f>IFERROR(VLOOKUP(AO33,Dates!$B:$D,3,FALSE),"")</f>
        <v>2Q23</v>
      </c>
      <c r="AP34" s="27" t="str">
        <f>IFERROR(VLOOKUP(AP33,Dates!$B:$D,3,FALSE),"")</f>
        <v>3Q23</v>
      </c>
      <c r="AQ34" s="27" t="str">
        <f>IFERROR(VLOOKUP(AQ33,Dates!$B:$D,3,FALSE),"")</f>
        <v>4Q23</v>
      </c>
      <c r="AR34" s="27" t="str">
        <f>IFERROR(VLOOKUP(AR33,Dates!$B:$D,3,FALSE),"")</f>
        <v>1Q24</v>
      </c>
      <c r="AS34" s="27" t="str">
        <f>IFERROR(VLOOKUP(AS33,Dates!$B:$D,3,FALSE),"")</f>
        <v>2Q24</v>
      </c>
      <c r="AT34" s="27" t="str">
        <f>IFERROR(VLOOKUP(AT33,Dates!$B:$D,3,FALSE),"")</f>
        <v>3Q24</v>
      </c>
      <c r="AU34" s="28" t="str">
        <f>$G$3</f>
        <v>4Q24</v>
      </c>
    </row>
    <row r="35" spans="1:47" x14ac:dyDescent="0.35">
      <c r="A35" s="6"/>
      <c r="B35" s="6"/>
      <c r="C35" s="6"/>
      <c r="D35" s="6"/>
      <c r="E35" s="6"/>
      <c r="F35" s="6"/>
      <c r="G35" s="6"/>
      <c r="H35" s="6"/>
      <c r="I35" s="6"/>
      <c r="J35" s="6"/>
      <c r="K35" s="6"/>
      <c r="L35" s="6"/>
      <c r="M35" s="6"/>
      <c r="N35" s="6"/>
      <c r="O35" s="6"/>
      <c r="P35" s="6"/>
      <c r="Q35" s="6"/>
      <c r="R35" s="6"/>
      <c r="S35" s="6"/>
      <c r="T35" s="6"/>
      <c r="U35" s="6"/>
      <c r="V35" s="6"/>
      <c r="W35" s="6"/>
      <c r="AA35" s="29" t="str">
        <f>'Profit and Loss Highlights'!B94</f>
        <v>Mobile Service revenues</v>
      </c>
      <c r="AB35" s="30">
        <f>IFERROR(INDEX('Profit and Loss Highlights'!$A:$AAY,MATCH($AA35,'Profit and Loss Highlights'!$B:$B,0),MATCH(AB34,'Profit and Loss Highlights'!$1:$1,0)),"")</f>
        <v>1698</v>
      </c>
      <c r="AC35" s="30">
        <f>IFERROR(INDEX('Profit and Loss Highlights'!$A:$AAY,MATCH($AA35,'Profit and Loss Highlights'!$B:$B,0),MATCH(AC34,'Profit and Loss Highlights'!$1:$1,0)),"")</f>
        <v>1660</v>
      </c>
      <c r="AD35" s="30">
        <f>IFERROR(INDEX('Profit and Loss Highlights'!$A:$AAY,MATCH($AA35,'Profit and Loss Highlights'!$B:$B,0),MATCH(AD34,'Profit and Loss Highlights'!$1:$1,0)),"")</f>
        <v>1673</v>
      </c>
      <c r="AE35" s="30">
        <f>IFERROR(INDEX('Profit and Loss Highlights'!$A:$AAY,MATCH($AA35,'Profit and Loss Highlights'!$B:$B,0),MATCH(AE34,'Profit and Loss Highlights'!$1:$1,0)),"")</f>
        <v>1663</v>
      </c>
      <c r="AF35" s="30">
        <f>IFERROR(INDEX('Profit and Loss Highlights'!$A:$AAY,MATCH($AA35,'Profit and Loss Highlights'!$B:$B,0),MATCH(AF34,'Profit and Loss Highlights'!$1:$1,0)),"")</f>
        <v>1664</v>
      </c>
      <c r="AG35" s="30">
        <f>IFERROR(INDEX('Profit and Loss Highlights'!$A:$AAY,MATCH($AA35,'Profit and Loss Highlights'!$B:$B,0),MATCH(AG34,'Profit and Loss Highlights'!$1:$1,0)),"")</f>
        <v>1687</v>
      </c>
      <c r="AH35" s="30">
        <f>IFERROR(INDEX('Profit and Loss Highlights'!$A:$AAY,MATCH($AA35,'Profit and Loss Highlights'!$B:$B,0),MATCH(AH34,'Profit and Loss Highlights'!$1:$1,0)),"")</f>
        <v>1715</v>
      </c>
      <c r="AI35" s="30">
        <f>IFERROR(INDEX('Profit and Loss Highlights'!$A:$AAY,MATCH($AA35,'Profit and Loss Highlights'!$B:$B,0),MATCH(AI34,'Profit and Loss Highlights'!$1:$1,0)),"")</f>
        <v>1674</v>
      </c>
      <c r="AJ35" s="30">
        <f>IFERROR(INDEX('Profit and Loss Highlights'!$A:$AAY,MATCH($AA35,'Profit and Loss Highlights'!$B:$B,0),MATCH(AJ34,'Profit and Loss Highlights'!$1:$1,0)),"")</f>
        <v>1698</v>
      </c>
      <c r="AK35" s="30">
        <f>IFERROR(INDEX('Profit and Loss Highlights'!$A:$AAY,MATCH($AA35,'Profit and Loss Highlights'!$B:$B,0),MATCH(AK34,'Profit and Loss Highlights'!$1:$1,0)),"")</f>
        <v>1748</v>
      </c>
      <c r="AL35" s="30">
        <f>IFERROR(INDEX('Profit and Loss Highlights'!$A:$AAY,MATCH($AA35,'Profit and Loss Highlights'!$B:$B,0),MATCH(AL34,'Profit and Loss Highlights'!$1:$1,0)),"")</f>
        <v>1768</v>
      </c>
      <c r="AM35" s="30">
        <f>IFERROR(INDEX('Profit and Loss Highlights'!$A:$AAY,MATCH($AA35,'Profit and Loss Highlights'!$B:$B,0),MATCH(AM34,'Profit and Loss Highlights'!$1:$1,0)),"")</f>
        <v>1793</v>
      </c>
      <c r="AN35" s="30">
        <f>IFERROR(INDEX('Profit and Loss Highlights'!$A:$AAY,MATCH($AA35,'Profit and Loss Highlights'!$B:$B,0),MATCH(AN34,'Profit and Loss Highlights'!$1:$1,0)),"")</f>
        <v>1784</v>
      </c>
      <c r="AO35" s="30">
        <f>IFERROR(INDEX('Profit and Loss Highlights'!$A:$AAY,MATCH($AA35,'Profit and Loss Highlights'!$B:$B,0),MATCH(AO34,'Profit and Loss Highlights'!$1:$1,0)),"")</f>
        <v>1779</v>
      </c>
      <c r="AP35" s="30">
        <f>IFERROR(INDEX('Profit and Loss Highlights'!$A:$AAY,MATCH($AA35,'Profit and Loss Highlights'!$B:$B,0),MATCH(AP34,'Profit and Loss Highlights'!$1:$1,0)),"")</f>
        <v>1806</v>
      </c>
      <c r="AQ35" s="30">
        <f>IFERROR(INDEX('Profit and Loss Highlights'!$A:$AAY,MATCH($AA35,'Profit and Loss Highlights'!$B:$B,0),MATCH(AQ34,'Profit and Loss Highlights'!$1:$1,0)),"")</f>
        <v>1841</v>
      </c>
      <c r="AR35" s="30">
        <f>IFERROR(INDEX('Profit and Loss Highlights'!$A:$AAY,MATCH($AA35,'Profit and Loss Highlights'!$B:$B,0),MATCH(AR34,'Profit and Loss Highlights'!$1:$1,0)),"")</f>
        <v>1839</v>
      </c>
      <c r="AS35" s="30">
        <f>IFERROR(INDEX('Profit and Loss Highlights'!$A:$AAY,MATCH($AA35,'Profit and Loss Highlights'!$B:$B,0),MATCH(AS34,'Profit and Loss Highlights'!$1:$1,0)),"")</f>
        <v>1849</v>
      </c>
      <c r="AT35" s="30">
        <f>IFERROR(INDEX('Profit and Loss Highlights'!$A:$AAY,MATCH($AA35,'Profit and Loss Highlights'!$B:$B,0),MATCH(AT34,'Profit and Loss Highlights'!$1:$1,0)),"")</f>
        <v>1853</v>
      </c>
      <c r="AU35" s="30">
        <f>IFERROR(INDEX('Profit and Loss Highlights'!$A:$AAY,MATCH($AA35,'Profit and Loss Highlights'!$B:$B,0),MATCH(AU34,'Profit and Loss Highlights'!$1:$1,0)),"")</f>
        <v>1867</v>
      </c>
    </row>
    <row r="36" spans="1:47" x14ac:dyDescent="0.35">
      <c r="A36" s="6"/>
      <c r="B36" s="6"/>
      <c r="C36" s="6"/>
      <c r="D36" s="6"/>
      <c r="E36" s="6"/>
      <c r="F36" s="6"/>
      <c r="G36" s="6"/>
      <c r="H36" s="6"/>
      <c r="I36" s="6"/>
      <c r="J36" s="6"/>
      <c r="K36" s="6"/>
      <c r="L36" s="6"/>
      <c r="M36" s="6"/>
      <c r="N36" s="6"/>
      <c r="O36" s="6"/>
      <c r="P36" s="6"/>
      <c r="Q36" s="6"/>
      <c r="R36" s="6"/>
      <c r="S36" s="6"/>
      <c r="T36" s="6"/>
      <c r="U36" s="6"/>
      <c r="V36" s="6"/>
      <c r="W36" s="6"/>
    </row>
    <row r="37" spans="1:47" x14ac:dyDescent="0.35">
      <c r="A37" s="6"/>
      <c r="B37" s="6"/>
      <c r="C37" s="6"/>
      <c r="D37" s="6"/>
      <c r="E37" s="6"/>
      <c r="F37" s="6"/>
      <c r="G37" s="6"/>
      <c r="H37" s="6"/>
      <c r="I37" s="6"/>
      <c r="J37" s="6"/>
      <c r="K37" s="6"/>
      <c r="L37" s="6"/>
      <c r="M37" s="6"/>
      <c r="N37" s="6"/>
      <c r="O37" s="6"/>
      <c r="P37" s="6"/>
      <c r="Q37" s="6"/>
      <c r="R37" s="6"/>
      <c r="S37" s="6"/>
      <c r="T37" s="6"/>
      <c r="U37" s="6"/>
      <c r="V37" s="6"/>
      <c r="W37" s="6"/>
    </row>
    <row r="38" spans="1:47" x14ac:dyDescent="0.35">
      <c r="A38" s="6"/>
      <c r="B38" s="6"/>
      <c r="C38" s="6"/>
      <c r="D38" s="6"/>
      <c r="E38" s="6"/>
      <c r="F38" s="6"/>
      <c r="G38" s="6"/>
      <c r="H38" s="6"/>
      <c r="I38" s="6"/>
      <c r="J38" s="6"/>
      <c r="K38" s="6"/>
      <c r="L38" s="6"/>
      <c r="M38" s="6"/>
      <c r="N38" s="6"/>
      <c r="O38" s="6"/>
      <c r="P38" s="6"/>
      <c r="Q38" s="6"/>
      <c r="R38" s="6"/>
      <c r="S38" s="6"/>
      <c r="T38" s="6"/>
      <c r="U38" s="6"/>
      <c r="V38" s="6"/>
      <c r="W38" s="6"/>
    </row>
    <row r="39" spans="1:47" x14ac:dyDescent="0.35">
      <c r="A39" s="6"/>
      <c r="B39" s="6"/>
      <c r="C39" s="6"/>
      <c r="D39" s="6"/>
      <c r="E39" s="6"/>
      <c r="F39" s="6"/>
      <c r="G39" s="6"/>
      <c r="H39" s="6"/>
      <c r="I39" s="6"/>
      <c r="J39" s="6"/>
      <c r="K39" s="6"/>
      <c r="L39" s="6"/>
      <c r="M39" s="6"/>
      <c r="N39" s="6"/>
      <c r="O39" s="6"/>
      <c r="P39" s="6"/>
      <c r="Q39" s="6"/>
      <c r="R39" s="6"/>
      <c r="S39" s="6"/>
      <c r="T39" s="6"/>
      <c r="U39" s="6"/>
      <c r="V39" s="6"/>
      <c r="W39" s="6"/>
      <c r="AB39" s="27">
        <f t="shared" ref="AB39" si="37">AC39-1</f>
        <v>33</v>
      </c>
      <c r="AC39" s="27">
        <f t="shared" ref="AC39" si="38">AD39-1</f>
        <v>34</v>
      </c>
      <c r="AD39" s="27">
        <f t="shared" ref="AD39" si="39">AE39-1</f>
        <v>35</v>
      </c>
      <c r="AE39" s="27">
        <f t="shared" ref="AE39" si="40">AF39-1</f>
        <v>36</v>
      </c>
      <c r="AF39" s="27">
        <f t="shared" ref="AF39" si="41">AG39-1</f>
        <v>37</v>
      </c>
      <c r="AG39" s="27">
        <f t="shared" ref="AG39" si="42">AH39-1</f>
        <v>38</v>
      </c>
      <c r="AH39" s="27">
        <f t="shared" ref="AH39" si="43">AI39-1</f>
        <v>39</v>
      </c>
      <c r="AI39" s="27">
        <f t="shared" ref="AI39" si="44">AJ39-1</f>
        <v>40</v>
      </c>
      <c r="AJ39" s="27">
        <f t="shared" ref="AJ39" si="45">AK39-1</f>
        <v>41</v>
      </c>
      <c r="AK39" s="27">
        <f t="shared" ref="AK39" si="46">AL39-1</f>
        <v>42</v>
      </c>
      <c r="AL39" s="27">
        <f t="shared" ref="AL39" si="47">AM39-1</f>
        <v>43</v>
      </c>
      <c r="AM39" s="27">
        <f t="shared" ref="AM39" si="48">AN39-1</f>
        <v>44</v>
      </c>
      <c r="AN39" s="27">
        <f t="shared" ref="AN39" si="49">AO39-1</f>
        <v>45</v>
      </c>
      <c r="AO39" s="27">
        <f t="shared" ref="AO39" si="50">AP39-1</f>
        <v>46</v>
      </c>
      <c r="AP39" s="27">
        <f t="shared" ref="AP39" si="51">AQ39-1</f>
        <v>47</v>
      </c>
      <c r="AQ39" s="27">
        <f t="shared" ref="AQ39" si="52">AR39-1</f>
        <v>48</v>
      </c>
      <c r="AR39" s="27">
        <f t="shared" ref="AR39" si="53">AS39-1</f>
        <v>49</v>
      </c>
      <c r="AS39" s="27">
        <f t="shared" ref="AS39" si="54">AT39-1</f>
        <v>50</v>
      </c>
      <c r="AT39" s="27">
        <f>AU39-1</f>
        <v>51</v>
      </c>
      <c r="AU39" s="27">
        <f>VLOOKUP(AU40,Dates!$A:$D,2,FALSE)</f>
        <v>52</v>
      </c>
    </row>
    <row r="40" spans="1:47" x14ac:dyDescent="0.35">
      <c r="A40" s="6"/>
      <c r="B40" s="6"/>
      <c r="C40" s="6"/>
      <c r="D40" s="6"/>
      <c r="E40" s="6"/>
      <c r="F40" s="6"/>
      <c r="G40" s="6"/>
      <c r="H40" s="6"/>
      <c r="I40" s="6"/>
      <c r="J40" s="6"/>
      <c r="K40" s="6"/>
      <c r="L40" s="6"/>
      <c r="M40" s="6"/>
      <c r="N40" s="6"/>
      <c r="O40" s="6"/>
      <c r="P40" s="6"/>
      <c r="Q40" s="6"/>
      <c r="R40" s="6"/>
      <c r="S40" s="6"/>
      <c r="T40" s="6"/>
      <c r="U40" s="6"/>
      <c r="V40" s="6"/>
      <c r="W40" s="6"/>
      <c r="AB40" s="27" t="str">
        <f>IFERROR(VLOOKUP(AB39,Dates!$B:$D,3,FALSE),"")</f>
        <v>1Q20</v>
      </c>
      <c r="AC40" s="27" t="str">
        <f>IFERROR(VLOOKUP(AC39,Dates!$B:$D,3,FALSE),"")</f>
        <v>2Q20</v>
      </c>
      <c r="AD40" s="27" t="str">
        <f>IFERROR(VLOOKUP(AD39,Dates!$B:$D,3,FALSE),"")</f>
        <v>3Q20</v>
      </c>
      <c r="AE40" s="27" t="str">
        <f>IFERROR(VLOOKUP(AE39,Dates!$B:$D,3,FALSE),"")</f>
        <v>4Q20</v>
      </c>
      <c r="AF40" s="27" t="str">
        <f>IFERROR(VLOOKUP(AF39,Dates!$B:$D,3,FALSE),"")</f>
        <v>1Q21</v>
      </c>
      <c r="AG40" s="27" t="str">
        <f>IFERROR(VLOOKUP(AG39,Dates!$B:$D,3,FALSE),"")</f>
        <v>2Q21</v>
      </c>
      <c r="AH40" s="27" t="str">
        <f>IFERROR(VLOOKUP(AH39,Dates!$B:$D,3,FALSE),"")</f>
        <v>3Q21</v>
      </c>
      <c r="AI40" s="27" t="str">
        <f>IFERROR(VLOOKUP(AI39,Dates!$B:$D,3,FALSE),"")</f>
        <v>4Q21</v>
      </c>
      <c r="AJ40" s="27" t="str">
        <f>IFERROR(VLOOKUP(AJ39,Dates!$B:$D,3,FALSE),"")</f>
        <v>1Q22</v>
      </c>
      <c r="AK40" s="27" t="str">
        <f>IFERROR(VLOOKUP(AK39,Dates!$B:$D,3,FALSE),"")</f>
        <v>2Q22</v>
      </c>
      <c r="AL40" s="27" t="str">
        <f>IFERROR(VLOOKUP(AL39,Dates!$B:$D,3,FALSE),"")</f>
        <v>3Q22</v>
      </c>
      <c r="AM40" s="27" t="str">
        <f>IFERROR(VLOOKUP(AM39,Dates!$B:$D,3,FALSE),"")</f>
        <v>4Q22</v>
      </c>
      <c r="AN40" s="27" t="str">
        <f>IFERROR(VLOOKUP(AN39,Dates!$B:$D,3,FALSE),"")</f>
        <v>1Q23</v>
      </c>
      <c r="AO40" s="27" t="str">
        <f>IFERROR(VLOOKUP(AO39,Dates!$B:$D,3,FALSE),"")</f>
        <v>2Q23</v>
      </c>
      <c r="AP40" s="27" t="str">
        <f>IFERROR(VLOOKUP(AP39,Dates!$B:$D,3,FALSE),"")</f>
        <v>3Q23</v>
      </c>
      <c r="AQ40" s="27" t="str">
        <f>IFERROR(VLOOKUP(AQ39,Dates!$B:$D,3,FALSE),"")</f>
        <v>4Q23</v>
      </c>
      <c r="AR40" s="27" t="str">
        <f>IFERROR(VLOOKUP(AR39,Dates!$B:$D,3,FALSE),"")</f>
        <v>1Q24</v>
      </c>
      <c r="AS40" s="27" t="str">
        <f>IFERROR(VLOOKUP(AS39,Dates!$B:$D,3,FALSE),"")</f>
        <v>2Q24</v>
      </c>
      <c r="AT40" s="27" t="str">
        <f>IFERROR(VLOOKUP(AT39,Dates!$B:$D,3,FALSE),"")</f>
        <v>3Q24</v>
      </c>
      <c r="AU40" s="28" t="str">
        <f>$G$3</f>
        <v>4Q24</v>
      </c>
    </row>
    <row r="41" spans="1:47" x14ac:dyDescent="0.35">
      <c r="A41" s="6"/>
      <c r="B41" s="6"/>
      <c r="C41" s="6"/>
      <c r="D41" s="6"/>
      <c r="E41" s="6"/>
      <c r="F41" s="6"/>
      <c r="G41" s="6"/>
      <c r="H41" s="6"/>
      <c r="I41" s="6"/>
      <c r="J41" s="6"/>
      <c r="K41" s="6"/>
      <c r="L41" s="6"/>
      <c r="M41" s="6"/>
      <c r="N41" s="6"/>
      <c r="O41" s="6"/>
      <c r="P41" s="6"/>
      <c r="Q41" s="6"/>
      <c r="R41" s="6"/>
      <c r="S41" s="6"/>
      <c r="T41" s="6"/>
      <c r="U41" s="6"/>
      <c r="V41" s="6"/>
      <c r="W41" s="6"/>
      <c r="AA41" s="29" t="str">
        <f>'Profit and Loss Highlights'!B95</f>
        <v>Mobile Service revenues (Growth % YoY)</v>
      </c>
      <c r="AB41" s="31">
        <f>IFERROR(INDEX('Profit and Loss Highlights'!$A:$AAY,MATCH($AA41,'Profit and Loss Highlights'!$B:$B,0),MATCH(AB40,'Profit and Loss Highlights'!$1:$1,0)),"")</f>
        <v>-5.5091819699499167E-2</v>
      </c>
      <c r="AC41" s="31">
        <f>IFERROR(INDEX('Profit and Loss Highlights'!$A:$AAY,MATCH($AA41,'Profit and Loss Highlights'!$B:$B,0),MATCH(AC40,'Profit and Loss Highlights'!$1:$1,0)),"")</f>
        <v>-5.8423142370958581E-2</v>
      </c>
      <c r="AD41" s="31">
        <f>IFERROR(INDEX('Profit and Loss Highlights'!$A:$AAY,MATCH($AA41,'Profit and Loss Highlights'!$B:$B,0),MATCH(AD40,'Profit and Loss Highlights'!$1:$1,0)),"")</f>
        <v>-5.6401579244218847E-2</v>
      </c>
      <c r="AE41" s="31">
        <f>IFERROR(INDEX('Profit and Loss Highlights'!$A:$AAY,MATCH($AA41,'Profit and Loss Highlights'!$B:$B,0),MATCH(AE40,'Profit and Loss Highlights'!$1:$1,0)),"")</f>
        <v>-6.1512415349887162E-2</v>
      </c>
      <c r="AF41" s="31">
        <f>IFERROR(INDEX('Profit and Loss Highlights'!$A:$AAY,MATCH($AA41,'Profit and Loss Highlights'!$B:$B,0),MATCH(AF40,'Profit and Loss Highlights'!$1:$1,0)),"")</f>
        <v>-2.0023557126030656E-2</v>
      </c>
      <c r="AG41" s="31">
        <f>IFERROR(INDEX('Profit and Loss Highlights'!$A:$AAY,MATCH($AA41,'Profit and Loss Highlights'!$B:$B,0),MATCH(AG40,'Profit and Loss Highlights'!$1:$1,0)),"")</f>
        <v>1.6265060240963747E-2</v>
      </c>
      <c r="AH41" s="31">
        <f>IFERROR(INDEX('Profit and Loss Highlights'!$A:$AAY,MATCH($AA41,'Profit and Loss Highlights'!$B:$B,0),MATCH(AH40,'Profit and Loss Highlights'!$1:$1,0)),"")</f>
        <v>2.5104602510460206E-2</v>
      </c>
      <c r="AI41" s="31">
        <f>IFERROR(INDEX('Profit and Loss Highlights'!$A:$AAY,MATCH($AA41,'Profit and Loss Highlights'!$B:$B,0),MATCH(AI40,'Profit and Loss Highlights'!$1:$1,0)),"")</f>
        <v>6.6145520144318404E-3</v>
      </c>
      <c r="AJ41" s="31">
        <f>IFERROR(INDEX('Profit and Loss Highlights'!$A:$AAY,MATCH($AA41,'Profit and Loss Highlights'!$B:$B,0),MATCH(AJ40,'Profit and Loss Highlights'!$1:$1,0)),"")</f>
        <v>2.0432692307692291E-2</v>
      </c>
      <c r="AK41" s="31">
        <f>IFERROR(INDEX('Profit and Loss Highlights'!$A:$AAY,MATCH($AA41,'Profit and Loss Highlights'!$B:$B,0),MATCH(AK40,'Profit and Loss Highlights'!$1:$1,0)),"")</f>
        <v>3.6158861885003057E-2</v>
      </c>
      <c r="AL41" s="31">
        <f>IFERROR(INDEX('Profit and Loss Highlights'!$A:$AAY,MATCH($AA41,'Profit and Loss Highlights'!$B:$B,0),MATCH(AL40,'Profit and Loss Highlights'!$1:$1,0)),"")</f>
        <v>3.0903790087463578E-2</v>
      </c>
      <c r="AM41" s="31">
        <f>IFERROR(INDEX('Profit and Loss Highlights'!$A:$AAY,MATCH($AA41,'Profit and Loss Highlights'!$B:$B,0),MATCH(AM40,'Profit and Loss Highlights'!$1:$1,0)),"")</f>
        <v>7.1087216248506557E-2</v>
      </c>
      <c r="AN41" s="31">
        <f>IFERROR(INDEX('Profit and Loss Highlights'!$A:$AAY,MATCH($AA41,'Profit and Loss Highlights'!$B:$B,0),MATCH(AN40,'Profit and Loss Highlights'!$1:$1,0)),"")</f>
        <v>5.0647820965842083E-2</v>
      </c>
      <c r="AO41" s="31">
        <f>IFERROR(INDEX('Profit and Loss Highlights'!$A:$AAY,MATCH($AA41,'Profit and Loss Highlights'!$B:$B,0),MATCH(AO40,'Profit and Loss Highlights'!$1:$1,0)),"")</f>
        <v>1.7734553775743622E-2</v>
      </c>
      <c r="AP41" s="31">
        <f>IFERROR(INDEX('Profit and Loss Highlights'!$A:$AAY,MATCH($AA41,'Profit and Loss Highlights'!$B:$B,0),MATCH(AP40,'Profit and Loss Highlights'!$1:$1,0)),"")</f>
        <v>2.1493212669683182E-2</v>
      </c>
      <c r="AQ41" s="31">
        <f>IFERROR(INDEX('Profit and Loss Highlights'!$A:$AAY,MATCH($AA41,'Profit and Loss Highlights'!$B:$B,0),MATCH(AQ40,'Profit and Loss Highlights'!$1:$1,0)),"")</f>
        <v>2.6770775237032973E-2</v>
      </c>
      <c r="AR41" s="31">
        <f>IFERROR(INDEX('Profit and Loss Highlights'!$A:$AAY,MATCH($AA41,'Profit and Loss Highlights'!$B:$B,0),MATCH(AR40,'Profit and Loss Highlights'!$1:$1,0)),"")</f>
        <v>3.0829596412556004E-2</v>
      </c>
      <c r="AS41" s="31">
        <f>IFERROR(INDEX('Profit and Loss Highlights'!$A:$AAY,MATCH($AA41,'Profit and Loss Highlights'!$B:$B,0),MATCH(AS40,'Profit and Loss Highlights'!$1:$1,0)),"")</f>
        <v>3.9347948285553658E-2</v>
      </c>
      <c r="AT41" s="31">
        <f>IFERROR(INDEX('Profit and Loss Highlights'!$A:$AAY,MATCH($AA41,'Profit and Loss Highlights'!$B:$B,0),MATCH(AT40,'Profit and Loss Highlights'!$1:$1,0)),"")</f>
        <v>2.6024363233665637E-2</v>
      </c>
      <c r="AU41" s="31">
        <f>IFERROR(INDEX('Profit and Loss Highlights'!$A:$AAY,MATCH($AA41,'Profit and Loss Highlights'!$B:$B,0),MATCH(AU40,'Profit and Loss Highlights'!$1:$1,0)),"")</f>
        <v>1.4122759369907589E-2</v>
      </c>
    </row>
    <row r="42" spans="1:47" x14ac:dyDescent="0.35">
      <c r="A42" s="6"/>
      <c r="B42" s="6"/>
      <c r="C42" s="6"/>
      <c r="D42" s="6"/>
      <c r="E42" s="6"/>
      <c r="F42" s="6"/>
      <c r="G42" s="6"/>
      <c r="H42" s="6"/>
      <c r="I42" s="6"/>
      <c r="J42" s="6"/>
      <c r="K42" s="6"/>
      <c r="L42" s="6"/>
      <c r="M42" s="6"/>
      <c r="N42" s="6"/>
      <c r="O42" s="6"/>
      <c r="P42" s="6"/>
      <c r="Q42" s="6"/>
      <c r="R42" s="6"/>
      <c r="S42" s="6"/>
      <c r="T42" s="6"/>
      <c r="U42" s="6"/>
      <c r="V42" s="6"/>
      <c r="W42" s="6"/>
    </row>
    <row r="43" spans="1:47" x14ac:dyDescent="0.35">
      <c r="A43" s="6"/>
      <c r="B43" s="6"/>
      <c r="C43" s="6"/>
      <c r="D43" s="6"/>
      <c r="E43" s="6"/>
      <c r="F43" s="6"/>
      <c r="G43" s="6"/>
      <c r="H43" s="6"/>
      <c r="I43" s="6"/>
      <c r="J43" s="6"/>
      <c r="K43" s="6"/>
      <c r="L43" s="6"/>
      <c r="M43" s="6"/>
      <c r="N43" s="6"/>
      <c r="O43" s="6"/>
      <c r="P43" s="6"/>
      <c r="Q43" s="6"/>
      <c r="R43" s="6"/>
      <c r="S43" s="6"/>
      <c r="T43" s="6"/>
      <c r="U43" s="6"/>
      <c r="V43" s="6"/>
      <c r="W43" s="6"/>
    </row>
    <row r="44" spans="1:47" x14ac:dyDescent="0.35">
      <c r="A44" s="6"/>
      <c r="B44" s="6"/>
      <c r="C44" s="6"/>
      <c r="D44" s="6"/>
      <c r="E44" s="6"/>
      <c r="F44" s="6"/>
      <c r="G44" s="6"/>
      <c r="H44" s="6"/>
      <c r="I44" s="6"/>
      <c r="J44" s="6"/>
      <c r="K44" s="6"/>
      <c r="L44" s="6"/>
      <c r="M44" s="6"/>
      <c r="N44" s="6"/>
      <c r="O44" s="6"/>
      <c r="P44" s="6"/>
      <c r="Q44" s="6"/>
      <c r="R44" s="6"/>
      <c r="S44" s="6"/>
      <c r="T44" s="6"/>
      <c r="U44" s="6"/>
      <c r="V44" s="6"/>
      <c r="W44" s="6"/>
    </row>
    <row r="45" spans="1:47" x14ac:dyDescent="0.35">
      <c r="A45" s="6"/>
      <c r="B45" s="6"/>
      <c r="C45" s="6"/>
      <c r="D45" s="6"/>
      <c r="E45" s="6"/>
      <c r="F45" s="6"/>
      <c r="G45" s="6"/>
      <c r="H45" s="6"/>
      <c r="I45" s="6"/>
      <c r="J45" s="6"/>
      <c r="K45" s="6"/>
      <c r="L45" s="6"/>
      <c r="M45" s="6"/>
      <c r="N45" s="6"/>
      <c r="O45" s="6"/>
      <c r="P45" s="6"/>
      <c r="Q45" s="6"/>
      <c r="R45" s="6"/>
      <c r="S45" s="6"/>
      <c r="T45" s="6"/>
      <c r="U45" s="6"/>
      <c r="V45" s="6"/>
      <c r="W45" s="6"/>
    </row>
    <row r="46" spans="1:47" x14ac:dyDescent="0.35">
      <c r="A46" s="6"/>
      <c r="B46" s="6"/>
      <c r="C46" s="6"/>
      <c r="D46" s="6"/>
      <c r="E46" s="6"/>
      <c r="F46" s="6"/>
      <c r="G46" s="6"/>
      <c r="H46" s="6"/>
      <c r="I46" s="6"/>
      <c r="J46" s="6"/>
      <c r="K46" s="6"/>
      <c r="L46" s="6"/>
      <c r="M46" s="6"/>
      <c r="N46" s="6"/>
      <c r="O46" s="6"/>
      <c r="P46" s="6"/>
      <c r="Q46" s="6"/>
      <c r="R46" s="6"/>
      <c r="S46" s="6"/>
      <c r="T46" s="6"/>
      <c r="U46" s="6"/>
      <c r="V46" s="6"/>
      <c r="W46" s="6"/>
    </row>
    <row r="47" spans="1:47" x14ac:dyDescent="0.35">
      <c r="A47" s="6"/>
      <c r="B47" s="6"/>
      <c r="C47" s="6"/>
      <c r="D47" s="6"/>
      <c r="E47" s="6"/>
      <c r="F47" s="6"/>
      <c r="G47" s="6"/>
      <c r="H47" s="6"/>
      <c r="I47" s="6"/>
      <c r="J47" s="6"/>
      <c r="K47" s="6"/>
      <c r="L47" s="6"/>
      <c r="M47" s="6"/>
      <c r="N47" s="6"/>
      <c r="O47" s="6"/>
      <c r="P47" s="6"/>
      <c r="Q47" s="6"/>
      <c r="R47" s="6"/>
      <c r="S47" s="6"/>
      <c r="T47" s="6"/>
      <c r="U47" s="6"/>
      <c r="V47" s="6"/>
      <c r="W47" s="6"/>
    </row>
    <row r="48" spans="1:47" x14ac:dyDescent="0.35">
      <c r="A48" s="6"/>
      <c r="B48" s="6"/>
      <c r="C48" s="6"/>
      <c r="D48" s="6"/>
      <c r="E48" s="6"/>
      <c r="F48" s="6"/>
      <c r="G48" s="6"/>
      <c r="H48" s="6"/>
      <c r="I48" s="6"/>
      <c r="J48" s="6"/>
      <c r="K48" s="6"/>
      <c r="L48" s="6"/>
      <c r="M48" s="6"/>
      <c r="N48" s="6"/>
      <c r="O48" s="6"/>
      <c r="P48" s="6"/>
      <c r="Q48" s="6"/>
      <c r="R48" s="6"/>
      <c r="S48" s="6"/>
      <c r="T48" s="6"/>
      <c r="U48" s="6"/>
      <c r="V48" s="6"/>
      <c r="W48" s="6"/>
    </row>
    <row r="49" spans="1:47" x14ac:dyDescent="0.35">
      <c r="A49" s="1" t="s">
        <v>31</v>
      </c>
      <c r="B49" s="1" t="s">
        <v>94</v>
      </c>
      <c r="C49" s="1"/>
      <c r="D49" s="1"/>
      <c r="E49" s="1"/>
      <c r="F49" s="1"/>
      <c r="G49" s="1"/>
      <c r="H49" s="1"/>
      <c r="I49" s="1"/>
      <c r="J49" s="1"/>
      <c r="K49" s="1" t="s">
        <v>32</v>
      </c>
      <c r="L49" s="1" t="s">
        <v>174</v>
      </c>
      <c r="M49" s="1"/>
      <c r="N49" s="1"/>
      <c r="O49" s="1"/>
      <c r="P49" s="1"/>
      <c r="Q49" s="1"/>
      <c r="R49" s="1"/>
      <c r="S49" s="1"/>
      <c r="T49" s="1"/>
      <c r="U49" s="6"/>
      <c r="V49" s="6"/>
      <c r="W49" s="6"/>
    </row>
    <row r="50" spans="1:47" x14ac:dyDescent="0.35">
      <c r="A50" s="6"/>
      <c r="B50" s="6"/>
      <c r="C50" s="6"/>
      <c r="D50" s="6"/>
      <c r="E50" s="6"/>
      <c r="F50" s="6"/>
      <c r="G50" s="6"/>
      <c r="H50" s="6"/>
      <c r="I50" s="6"/>
      <c r="J50" s="6"/>
      <c r="K50" s="6"/>
      <c r="L50" s="6"/>
      <c r="M50" s="6"/>
      <c r="N50" s="6"/>
      <c r="O50" s="6"/>
      <c r="P50" s="6"/>
      <c r="Q50" s="6"/>
      <c r="R50" s="6"/>
      <c r="S50" s="6"/>
      <c r="T50" s="6"/>
      <c r="U50" s="6"/>
      <c r="V50" s="6"/>
      <c r="W50" s="6"/>
    </row>
    <row r="51" spans="1:47" x14ac:dyDescent="0.35">
      <c r="A51" s="6"/>
      <c r="B51" s="6"/>
      <c r="C51" s="6"/>
      <c r="D51" s="6"/>
      <c r="E51" s="6"/>
      <c r="F51" s="6"/>
      <c r="G51" s="6"/>
      <c r="H51" s="6"/>
      <c r="I51" s="6"/>
      <c r="J51" s="6"/>
      <c r="K51" s="6"/>
      <c r="L51" s="6"/>
      <c r="M51" s="6"/>
      <c r="N51" s="6"/>
      <c r="O51" s="6"/>
      <c r="P51" s="6"/>
      <c r="Q51" s="6"/>
      <c r="R51" s="6"/>
      <c r="S51" s="6"/>
      <c r="T51" s="6"/>
      <c r="U51" s="6"/>
      <c r="V51" s="6"/>
      <c r="W51" s="6"/>
    </row>
    <row r="52" spans="1:47" x14ac:dyDescent="0.35">
      <c r="A52" s="6"/>
      <c r="B52" s="6"/>
      <c r="C52" s="6"/>
      <c r="D52" s="6"/>
      <c r="E52" s="6"/>
      <c r="F52" s="6"/>
      <c r="G52" s="6"/>
      <c r="H52" s="6"/>
      <c r="I52" s="6"/>
      <c r="J52" s="6"/>
      <c r="K52" s="6"/>
      <c r="L52" s="6"/>
      <c r="M52" s="6"/>
      <c r="N52" s="6"/>
      <c r="O52" s="6"/>
      <c r="P52" s="6"/>
      <c r="Q52" s="6"/>
      <c r="R52" s="6"/>
      <c r="S52" s="6"/>
      <c r="T52" s="6"/>
      <c r="U52" s="6"/>
      <c r="V52" s="6"/>
      <c r="W52" s="6"/>
      <c r="AB52" s="27">
        <f t="shared" ref="AB52" si="55">AC52-1</f>
        <v>33</v>
      </c>
      <c r="AC52" s="27">
        <f t="shared" ref="AC52" si="56">AD52-1</f>
        <v>34</v>
      </c>
      <c r="AD52" s="27">
        <f t="shared" ref="AD52" si="57">AE52-1</f>
        <v>35</v>
      </c>
      <c r="AE52" s="27">
        <f t="shared" ref="AE52" si="58">AF52-1</f>
        <v>36</v>
      </c>
      <c r="AF52" s="27">
        <f t="shared" ref="AF52" si="59">AG52-1</f>
        <v>37</v>
      </c>
      <c r="AG52" s="27">
        <f t="shared" ref="AG52" si="60">AH52-1</f>
        <v>38</v>
      </c>
      <c r="AH52" s="27">
        <f t="shared" ref="AH52" si="61">AI52-1</f>
        <v>39</v>
      </c>
      <c r="AI52" s="27">
        <f t="shared" ref="AI52" si="62">AJ52-1</f>
        <v>40</v>
      </c>
      <c r="AJ52" s="27">
        <f t="shared" ref="AJ52" si="63">AK52-1</f>
        <v>41</v>
      </c>
      <c r="AK52" s="27">
        <f t="shared" ref="AK52" si="64">AL52-1</f>
        <v>42</v>
      </c>
      <c r="AL52" s="27">
        <f t="shared" ref="AL52" si="65">AM52-1</f>
        <v>43</v>
      </c>
      <c r="AM52" s="27">
        <f t="shared" ref="AM52" si="66">AN52-1</f>
        <v>44</v>
      </c>
      <c r="AN52" s="27">
        <f t="shared" ref="AN52" si="67">AO52-1</f>
        <v>45</v>
      </c>
      <c r="AO52" s="27">
        <f t="shared" ref="AO52" si="68">AP52-1</f>
        <v>46</v>
      </c>
      <c r="AP52" s="27">
        <f t="shared" ref="AP52" si="69">AQ52-1</f>
        <v>47</v>
      </c>
      <c r="AQ52" s="27">
        <f t="shared" ref="AQ52" si="70">AR52-1</f>
        <v>48</v>
      </c>
      <c r="AR52" s="27">
        <f t="shared" ref="AR52" si="71">AS52-1</f>
        <v>49</v>
      </c>
      <c r="AS52" s="27">
        <f t="shared" ref="AS52" si="72">AT52-1</f>
        <v>50</v>
      </c>
      <c r="AT52" s="27">
        <f>AU52-1</f>
        <v>51</v>
      </c>
      <c r="AU52" s="27">
        <f>VLOOKUP(AU53,Dates!$A:$D,2,FALSE)</f>
        <v>52</v>
      </c>
    </row>
    <row r="53" spans="1:47" x14ac:dyDescent="0.35">
      <c r="A53" s="6"/>
      <c r="B53" s="6"/>
      <c r="C53" s="6"/>
      <c r="D53" s="6"/>
      <c r="E53" s="6"/>
      <c r="F53" s="6"/>
      <c r="G53" s="6"/>
      <c r="H53" s="6"/>
      <c r="I53" s="6"/>
      <c r="J53" s="6"/>
      <c r="K53" s="6"/>
      <c r="L53" s="6"/>
      <c r="M53" s="6"/>
      <c r="N53" s="6"/>
      <c r="O53" s="6"/>
      <c r="P53" s="6"/>
      <c r="Q53" s="6"/>
      <c r="R53" s="6"/>
      <c r="S53" s="6"/>
      <c r="T53" s="6"/>
      <c r="U53" s="6"/>
      <c r="V53" s="6"/>
      <c r="W53" s="6"/>
      <c r="AB53" s="27" t="str">
        <f>IFERROR(VLOOKUP(AB52,Dates!$B:$D,3,FALSE),"")</f>
        <v>1Q20</v>
      </c>
      <c r="AC53" s="27" t="str">
        <f>IFERROR(VLOOKUP(AC52,Dates!$B:$D,3,FALSE),"")</f>
        <v>2Q20</v>
      </c>
      <c r="AD53" s="27" t="str">
        <f>IFERROR(VLOOKUP(AD52,Dates!$B:$D,3,FALSE),"")</f>
        <v>3Q20</v>
      </c>
      <c r="AE53" s="27" t="str">
        <f>IFERROR(VLOOKUP(AE52,Dates!$B:$D,3,FALSE),"")</f>
        <v>4Q20</v>
      </c>
      <c r="AF53" s="27" t="str">
        <f>IFERROR(VLOOKUP(AF52,Dates!$B:$D,3,FALSE),"")</f>
        <v>1Q21</v>
      </c>
      <c r="AG53" s="27" t="str">
        <f>IFERROR(VLOOKUP(AG52,Dates!$B:$D,3,FALSE),"")</f>
        <v>2Q21</v>
      </c>
      <c r="AH53" s="27" t="str">
        <f>IFERROR(VLOOKUP(AH52,Dates!$B:$D,3,FALSE),"")</f>
        <v>3Q21</v>
      </c>
      <c r="AI53" s="27" t="str">
        <f>IFERROR(VLOOKUP(AI52,Dates!$B:$D,3,FALSE),"")</f>
        <v>4Q21</v>
      </c>
      <c r="AJ53" s="27" t="str">
        <f>IFERROR(VLOOKUP(AJ52,Dates!$B:$D,3,FALSE),"")</f>
        <v>1Q22</v>
      </c>
      <c r="AK53" s="27" t="str">
        <f>IFERROR(VLOOKUP(AK52,Dates!$B:$D,3,FALSE),"")</f>
        <v>2Q22</v>
      </c>
      <c r="AL53" s="27" t="str">
        <f>IFERROR(VLOOKUP(AL52,Dates!$B:$D,3,FALSE),"")</f>
        <v>3Q22</v>
      </c>
      <c r="AM53" s="27" t="str">
        <f>IFERROR(VLOOKUP(AM52,Dates!$B:$D,3,FALSE),"")</f>
        <v>4Q22</v>
      </c>
      <c r="AN53" s="27" t="str">
        <f>IFERROR(VLOOKUP(AN52,Dates!$B:$D,3,FALSE),"")</f>
        <v>1Q23</v>
      </c>
      <c r="AO53" s="27" t="str">
        <f>IFERROR(VLOOKUP(AO52,Dates!$B:$D,3,FALSE),"")</f>
        <v>2Q23</v>
      </c>
      <c r="AP53" s="27" t="str">
        <f>IFERROR(VLOOKUP(AP52,Dates!$B:$D,3,FALSE),"")</f>
        <v>3Q23</v>
      </c>
      <c r="AQ53" s="27" t="str">
        <f>IFERROR(VLOOKUP(AQ52,Dates!$B:$D,3,FALSE),"")</f>
        <v>4Q23</v>
      </c>
      <c r="AR53" s="27" t="str">
        <f>IFERROR(VLOOKUP(AR52,Dates!$B:$D,3,FALSE),"")</f>
        <v>1Q24</v>
      </c>
      <c r="AS53" s="27" t="str">
        <f>IFERROR(VLOOKUP(AS52,Dates!$B:$D,3,FALSE),"")</f>
        <v>2Q24</v>
      </c>
      <c r="AT53" s="27" t="str">
        <f>IFERROR(VLOOKUP(AT52,Dates!$B:$D,3,FALSE),"")</f>
        <v>3Q24</v>
      </c>
      <c r="AU53" s="28" t="str">
        <f>$G$3</f>
        <v>4Q24</v>
      </c>
    </row>
    <row r="54" spans="1:47" x14ac:dyDescent="0.35">
      <c r="A54" s="6"/>
      <c r="B54" s="6"/>
      <c r="C54" s="6"/>
      <c r="D54" s="6"/>
      <c r="E54" s="6"/>
      <c r="F54" s="6"/>
      <c r="G54" s="6"/>
      <c r="H54" s="6"/>
      <c r="I54" s="6"/>
      <c r="J54" s="6"/>
      <c r="K54" s="6"/>
      <c r="L54" s="6"/>
      <c r="M54" s="6"/>
      <c r="N54" s="6"/>
      <c r="O54" s="6"/>
      <c r="P54" s="6"/>
      <c r="Q54" s="6"/>
      <c r="R54" s="6"/>
      <c r="S54" s="6"/>
      <c r="T54" s="6"/>
      <c r="U54" s="6"/>
      <c r="V54" s="6"/>
      <c r="W54" s="6"/>
      <c r="AA54" s="29" t="str">
        <f>'Domestic Mobile Operations'!A19</f>
        <v>Postpaid revenues</v>
      </c>
      <c r="AB54" s="30">
        <f>IFERROR(INDEX('Domestic Mobile Operations'!$A:$AAZ,MATCH($AA54,'Domestic Mobile Operations'!$A:$A,0),MATCH(AB53,'Domestic Mobile Operations'!$1:$1,0)),"")</f>
        <v>984</v>
      </c>
      <c r="AC54" s="30">
        <f>IFERROR(INDEX('Domestic Mobile Operations'!$A:$AAZ,MATCH($AA54,'Domestic Mobile Operations'!$A:$A,0),MATCH(AC53,'Domestic Mobile Operations'!$1:$1,0)),"")</f>
        <v>974</v>
      </c>
      <c r="AD54" s="30">
        <f>IFERROR(INDEX('Domestic Mobile Operations'!$A:$AAZ,MATCH($AA54,'Domestic Mobile Operations'!$A:$A,0),MATCH(AD53,'Domestic Mobile Operations'!$1:$1,0)),"")</f>
        <v>956</v>
      </c>
      <c r="AE54" s="30">
        <f>IFERROR(INDEX('Domestic Mobile Operations'!$A:$AAZ,MATCH($AA54,'Domestic Mobile Operations'!$A:$A,0),MATCH(AE53,'Domestic Mobile Operations'!$1:$1,0)),"")</f>
        <v>967</v>
      </c>
      <c r="AF54" s="30">
        <f>IFERROR(INDEX('Domestic Mobile Operations'!$A:$AAZ,MATCH($AA54,'Domestic Mobile Operations'!$A:$A,0),MATCH(AF53,'Domestic Mobile Operations'!$1:$1,0)),"")</f>
        <v>974</v>
      </c>
      <c r="AG54" s="30">
        <f>IFERROR(INDEX('Domestic Mobile Operations'!$A:$AAZ,MATCH($AA54,'Domestic Mobile Operations'!$A:$A,0),MATCH(AG53,'Domestic Mobile Operations'!$1:$1,0)),"")</f>
        <v>1002</v>
      </c>
      <c r="AH54" s="30">
        <f>IFERROR(INDEX('Domestic Mobile Operations'!$A:$AAZ,MATCH($AA54,'Domestic Mobile Operations'!$A:$A,0),MATCH(AH53,'Domestic Mobile Operations'!$1:$1,0)),"")</f>
        <v>1030</v>
      </c>
      <c r="AI54" s="30">
        <f>IFERROR(INDEX('Domestic Mobile Operations'!$A:$AAZ,MATCH($AA54,'Domestic Mobile Operations'!$A:$A,0),MATCH(AI53,'Domestic Mobile Operations'!$1:$1,0)),"")</f>
        <v>1019</v>
      </c>
      <c r="AJ54" s="30">
        <f>IFERROR(INDEX('Domestic Mobile Operations'!$A:$AAZ,MATCH($AA54,'Domestic Mobile Operations'!$A:$A,0),MATCH(AJ53,'Domestic Mobile Operations'!$1:$1,0)),"")</f>
        <v>1041</v>
      </c>
      <c r="AK54" s="30">
        <f>IFERROR(INDEX('Domestic Mobile Operations'!$A:$AAZ,MATCH($AA54,'Domestic Mobile Operations'!$A:$A,0),MATCH(AK53,'Domestic Mobile Operations'!$1:$1,0)),"")</f>
        <v>1069</v>
      </c>
      <c r="AL54" s="30">
        <f>IFERROR(INDEX('Domestic Mobile Operations'!$A:$AAZ,MATCH($AA54,'Domestic Mobile Operations'!$A:$A,0),MATCH(AL53,'Domestic Mobile Operations'!$1:$1,0)),"")</f>
        <v>1092</v>
      </c>
      <c r="AM54" s="30">
        <f>IFERROR(INDEX('Domestic Mobile Operations'!$A:$AAZ,MATCH($AA54,'Domestic Mobile Operations'!$A:$A,0),MATCH(AM53,'Domestic Mobile Operations'!$1:$1,0)),"")</f>
        <v>1112</v>
      </c>
      <c r="AN54" s="30">
        <f>IFERROR(INDEX('Domestic Mobile Operations'!$A:$AAZ,MATCH($AA54,'Domestic Mobile Operations'!$A:$A,0),MATCH(AN53,'Domestic Mobile Operations'!$1:$1,0)),"")</f>
        <v>1123</v>
      </c>
      <c r="AO54" s="30">
        <f>IFERROR(INDEX('Domestic Mobile Operations'!$A:$AAZ,MATCH($AA54,'Domestic Mobile Operations'!$A:$A,0),MATCH(AO53,'Domestic Mobile Operations'!$1:$1,0)),"")</f>
        <v>1128</v>
      </c>
      <c r="AP54" s="30">
        <f>IFERROR(INDEX('Domestic Mobile Operations'!$A:$AAZ,MATCH($AA54,'Domestic Mobile Operations'!$A:$A,0),MATCH(AP53,'Domestic Mobile Operations'!$1:$1,0)),"")</f>
        <v>1154</v>
      </c>
      <c r="AQ54" s="30">
        <f>IFERROR(INDEX('Domestic Mobile Operations'!$A:$AAZ,MATCH($AA54,'Domestic Mobile Operations'!$A:$A,0),MATCH(AQ53,'Domestic Mobile Operations'!$1:$1,0)),"")</f>
        <v>1186</v>
      </c>
      <c r="AR54" s="30">
        <f>IFERROR(INDEX('Domestic Mobile Operations'!$A:$AAZ,MATCH($AA54,'Domestic Mobile Operations'!$A:$A,0),MATCH(AR53,'Domestic Mobile Operations'!$1:$1,0)),"")</f>
        <v>1190</v>
      </c>
      <c r="AS54" s="30">
        <f>IFERROR(INDEX('Domestic Mobile Operations'!$A:$AAZ,MATCH($AA54,'Domestic Mobile Operations'!$A:$A,0),MATCH(AS53,'Domestic Mobile Operations'!$1:$1,0)),"")</f>
        <v>1201</v>
      </c>
      <c r="AT54" s="30">
        <f>IFERROR(INDEX('Domestic Mobile Operations'!$A:$AAZ,MATCH($AA54,'Domestic Mobile Operations'!$A:$A,0),MATCH(AT53,'Domestic Mobile Operations'!$1:$1,0)),"")</f>
        <v>1212</v>
      </c>
      <c r="AU54" s="30">
        <f>IFERROR(INDEX('Domestic Mobile Operations'!$A:$AAZ,MATCH($AA54,'Domestic Mobile Operations'!$A:$A,0),MATCH(AU53,'Domestic Mobile Operations'!$1:$1,0)),"")</f>
        <v>1240</v>
      </c>
    </row>
    <row r="55" spans="1:47" x14ac:dyDescent="0.35">
      <c r="A55" s="6"/>
      <c r="B55" s="6"/>
      <c r="C55" s="6"/>
      <c r="D55" s="6"/>
      <c r="E55" s="6"/>
      <c r="F55" s="6"/>
      <c r="G55" s="6"/>
      <c r="H55" s="6"/>
      <c r="I55" s="6"/>
      <c r="J55" s="6"/>
      <c r="K55" s="6"/>
      <c r="L55" s="6"/>
      <c r="M55" s="6"/>
      <c r="N55" s="6"/>
      <c r="O55" s="6"/>
      <c r="P55" s="6"/>
      <c r="Q55" s="6"/>
      <c r="R55" s="6"/>
      <c r="S55" s="6"/>
      <c r="T55" s="6"/>
      <c r="U55" s="6"/>
      <c r="V55" s="6"/>
      <c r="W55" s="6"/>
      <c r="AA55" s="29" t="str">
        <f>'Domestic Mobile Operations'!A20</f>
        <v>Prepaid revenues</v>
      </c>
      <c r="AB55" s="30">
        <f>IFERROR(INDEX('Domestic Mobile Operations'!$A:$AAZ,MATCH($AA55,'Domestic Mobile Operations'!$A:$A,0),MATCH(AB53,'Domestic Mobile Operations'!$1:$1,0)),"")</f>
        <v>714</v>
      </c>
      <c r="AC55" s="30">
        <f>IFERROR(INDEX('Domestic Mobile Operations'!$A:$AAZ,MATCH($AA55,'Domestic Mobile Operations'!$A:$A,0),MATCH(AC53,'Domestic Mobile Operations'!$1:$1,0)),"")</f>
        <v>686</v>
      </c>
      <c r="AD55" s="30">
        <f>IFERROR(INDEX('Domestic Mobile Operations'!$A:$AAZ,MATCH($AA55,'Domestic Mobile Operations'!$A:$A,0),MATCH(AD53,'Domestic Mobile Operations'!$1:$1,0)),"")</f>
        <v>717</v>
      </c>
      <c r="AE55" s="30">
        <f>IFERROR(INDEX('Domestic Mobile Operations'!$A:$AAZ,MATCH($AA55,'Domestic Mobile Operations'!$A:$A,0),MATCH(AE53,'Domestic Mobile Operations'!$1:$1,0)),"")</f>
        <v>696</v>
      </c>
      <c r="AF55" s="30">
        <f>IFERROR(INDEX('Domestic Mobile Operations'!$A:$AAZ,MATCH($AA55,'Domestic Mobile Operations'!$A:$A,0),MATCH(AF53,'Domestic Mobile Operations'!$1:$1,0)),"")</f>
        <v>690</v>
      </c>
      <c r="AG55" s="30">
        <f>IFERROR(INDEX('Domestic Mobile Operations'!$A:$AAZ,MATCH($AA55,'Domestic Mobile Operations'!$A:$A,0),MATCH(AG53,'Domestic Mobile Operations'!$1:$1,0)),"")</f>
        <v>685</v>
      </c>
      <c r="AH55" s="30">
        <f>IFERROR(INDEX('Domestic Mobile Operations'!$A:$AAZ,MATCH($AA55,'Domestic Mobile Operations'!$A:$A,0),MATCH(AH53,'Domestic Mobile Operations'!$1:$1,0)),"")</f>
        <v>685</v>
      </c>
      <c r="AI55" s="30">
        <f>IFERROR(INDEX('Domestic Mobile Operations'!$A:$AAZ,MATCH($AA55,'Domestic Mobile Operations'!$A:$A,0),MATCH(AI53,'Domestic Mobile Operations'!$1:$1,0)),"")</f>
        <v>655</v>
      </c>
      <c r="AJ55" s="30">
        <f>IFERROR(INDEX('Domestic Mobile Operations'!$A:$AAZ,MATCH($AA55,'Domestic Mobile Operations'!$A:$A,0),MATCH(AJ53,'Domestic Mobile Operations'!$1:$1,0)),"")</f>
        <v>657</v>
      </c>
      <c r="AK55" s="30">
        <f>IFERROR(INDEX('Domestic Mobile Operations'!$A:$AAZ,MATCH($AA55,'Domestic Mobile Operations'!$A:$A,0),MATCH(AK53,'Domestic Mobile Operations'!$1:$1,0)),"")</f>
        <v>679</v>
      </c>
      <c r="AL55" s="30">
        <f>IFERROR(INDEX('Domestic Mobile Operations'!$A:$AAZ,MATCH($AA55,'Domestic Mobile Operations'!$A:$A,0),MATCH(AL53,'Domestic Mobile Operations'!$1:$1,0)),"")</f>
        <v>676</v>
      </c>
      <c r="AM55" s="30">
        <f>IFERROR(INDEX('Domestic Mobile Operations'!$A:$AAZ,MATCH($AA55,'Domestic Mobile Operations'!$A:$A,0),MATCH(AM53,'Domestic Mobile Operations'!$1:$1,0)),"")</f>
        <v>681</v>
      </c>
      <c r="AN55" s="30">
        <f>IFERROR(INDEX('Domestic Mobile Operations'!$A:$AAZ,MATCH($AA55,'Domestic Mobile Operations'!$A:$A,0),MATCH(AN53,'Domestic Mobile Operations'!$1:$1,0)),"")</f>
        <v>661</v>
      </c>
      <c r="AO55" s="30">
        <f>IFERROR(INDEX('Domestic Mobile Operations'!$A:$AAZ,MATCH($AA55,'Domestic Mobile Operations'!$A:$A,0),MATCH(AO53,'Domestic Mobile Operations'!$1:$1,0)),"")</f>
        <v>651</v>
      </c>
      <c r="AP55" s="30">
        <f>IFERROR(INDEX('Domestic Mobile Operations'!$A:$AAZ,MATCH($AA55,'Domestic Mobile Operations'!$A:$A,0),MATCH(AP53,'Domestic Mobile Operations'!$1:$1,0)),"")</f>
        <v>652</v>
      </c>
      <c r="AQ55" s="30">
        <f>IFERROR(INDEX('Domestic Mobile Operations'!$A:$AAZ,MATCH($AA55,'Domestic Mobile Operations'!$A:$A,0),MATCH(AQ53,'Domestic Mobile Operations'!$1:$1,0)),"")</f>
        <v>655</v>
      </c>
      <c r="AR55" s="30">
        <f>IFERROR(INDEX('Domestic Mobile Operations'!$A:$AAZ,MATCH($AA55,'Domestic Mobile Operations'!$A:$A,0),MATCH(AR53,'Domestic Mobile Operations'!$1:$1,0)),"")</f>
        <v>649</v>
      </c>
      <c r="AS55" s="30">
        <f>IFERROR(INDEX('Domestic Mobile Operations'!$A:$AAZ,MATCH($AA55,'Domestic Mobile Operations'!$A:$A,0),MATCH(AS53,'Domestic Mobile Operations'!$1:$1,0)),"")</f>
        <v>648</v>
      </c>
      <c r="AT55" s="30">
        <f>IFERROR(INDEX('Domestic Mobile Operations'!$A:$AAZ,MATCH($AA55,'Domestic Mobile Operations'!$A:$A,0),MATCH(AT53,'Domestic Mobile Operations'!$1:$1,0)),"")</f>
        <v>641</v>
      </c>
      <c r="AU55" s="30">
        <f>IFERROR(INDEX('Domestic Mobile Operations'!$A:$AAZ,MATCH($AA55,'Domestic Mobile Operations'!$A:$A,0),MATCH(AU53,'Domestic Mobile Operations'!$1:$1,0)),"")</f>
        <v>627</v>
      </c>
    </row>
    <row r="56" spans="1:47" x14ac:dyDescent="0.35">
      <c r="A56" s="6"/>
      <c r="B56" s="6"/>
      <c r="C56" s="6"/>
      <c r="D56" s="6"/>
      <c r="E56" s="6"/>
      <c r="F56" s="6"/>
      <c r="G56" s="6"/>
      <c r="H56" s="6"/>
      <c r="I56" s="6"/>
      <c r="J56" s="6"/>
      <c r="K56" s="6"/>
      <c r="L56" s="6"/>
      <c r="M56" s="6"/>
      <c r="N56" s="6"/>
      <c r="O56" s="6"/>
      <c r="P56" s="6"/>
      <c r="Q56" s="6"/>
      <c r="R56" s="6"/>
      <c r="S56" s="6"/>
      <c r="T56" s="6"/>
      <c r="U56" s="6"/>
      <c r="V56" s="6"/>
      <c r="W56" s="6"/>
    </row>
    <row r="57" spans="1:47" x14ac:dyDescent="0.35">
      <c r="A57" s="6"/>
      <c r="B57" s="6"/>
      <c r="C57" s="6"/>
      <c r="D57" s="6"/>
      <c r="E57" s="6"/>
      <c r="F57" s="6"/>
      <c r="G57" s="6"/>
      <c r="H57" s="6"/>
      <c r="I57" s="6"/>
      <c r="J57" s="6"/>
      <c r="K57" s="6"/>
      <c r="L57" s="6"/>
      <c r="M57" s="6"/>
      <c r="N57" s="6"/>
      <c r="O57" s="6"/>
      <c r="P57" s="6"/>
      <c r="Q57" s="6"/>
      <c r="R57" s="6"/>
      <c r="S57" s="6"/>
      <c r="T57" s="6"/>
      <c r="U57" s="6"/>
      <c r="V57" s="6"/>
      <c r="W57" s="6"/>
    </row>
    <row r="58" spans="1:47" x14ac:dyDescent="0.35">
      <c r="A58" s="6"/>
      <c r="B58" s="6"/>
      <c r="C58" s="6"/>
      <c r="D58" s="6"/>
      <c r="E58" s="6"/>
      <c r="F58" s="6"/>
      <c r="G58" s="6"/>
      <c r="H58" s="6"/>
      <c r="I58" s="6"/>
      <c r="J58" s="6"/>
      <c r="K58" s="6"/>
      <c r="L58" s="6"/>
      <c r="M58" s="6"/>
      <c r="N58" s="6"/>
      <c r="O58" s="6"/>
      <c r="P58" s="6"/>
      <c r="Q58" s="6"/>
      <c r="R58" s="6"/>
      <c r="S58" s="6"/>
      <c r="T58" s="6"/>
      <c r="U58" s="6"/>
      <c r="V58" s="6"/>
      <c r="W58" s="6"/>
      <c r="AB58" s="27">
        <f t="shared" ref="AB58" si="73">AC58-1</f>
        <v>33</v>
      </c>
      <c r="AC58" s="27">
        <f t="shared" ref="AC58" si="74">AD58-1</f>
        <v>34</v>
      </c>
      <c r="AD58" s="27">
        <f t="shared" ref="AD58" si="75">AE58-1</f>
        <v>35</v>
      </c>
      <c r="AE58" s="27">
        <f t="shared" ref="AE58" si="76">AF58-1</f>
        <v>36</v>
      </c>
      <c r="AF58" s="27">
        <f t="shared" ref="AF58" si="77">AG58-1</f>
        <v>37</v>
      </c>
      <c r="AG58" s="27">
        <f t="shared" ref="AG58" si="78">AH58-1</f>
        <v>38</v>
      </c>
      <c r="AH58" s="27">
        <f t="shared" ref="AH58" si="79">AI58-1</f>
        <v>39</v>
      </c>
      <c r="AI58" s="27">
        <f t="shared" ref="AI58" si="80">AJ58-1</f>
        <v>40</v>
      </c>
      <c r="AJ58" s="27">
        <f t="shared" ref="AJ58" si="81">AK58-1</f>
        <v>41</v>
      </c>
      <c r="AK58" s="27">
        <f t="shared" ref="AK58" si="82">AL58-1</f>
        <v>42</v>
      </c>
      <c r="AL58" s="27">
        <f t="shared" ref="AL58" si="83">AM58-1</f>
        <v>43</v>
      </c>
      <c r="AM58" s="27">
        <f t="shared" ref="AM58" si="84">AN58-1</f>
        <v>44</v>
      </c>
      <c r="AN58" s="27">
        <f t="shared" ref="AN58" si="85">AO58-1</f>
        <v>45</v>
      </c>
      <c r="AO58" s="27">
        <f t="shared" ref="AO58" si="86">AP58-1</f>
        <v>46</v>
      </c>
      <c r="AP58" s="27">
        <f t="shared" ref="AP58" si="87">AQ58-1</f>
        <v>47</v>
      </c>
      <c r="AQ58" s="27">
        <f t="shared" ref="AQ58" si="88">AR58-1</f>
        <v>48</v>
      </c>
      <c r="AR58" s="27">
        <f t="shared" ref="AR58" si="89">AS58-1</f>
        <v>49</v>
      </c>
      <c r="AS58" s="27">
        <f t="shared" ref="AS58" si="90">AT58-1</f>
        <v>50</v>
      </c>
      <c r="AT58" s="27">
        <f>AU58-1</f>
        <v>51</v>
      </c>
      <c r="AU58" s="27">
        <f>VLOOKUP(AU59,Dates!$A:$D,2,FALSE)</f>
        <v>52</v>
      </c>
    </row>
    <row r="59" spans="1:47" x14ac:dyDescent="0.35">
      <c r="A59" s="6"/>
      <c r="B59" s="6"/>
      <c r="C59" s="6"/>
      <c r="D59" s="6"/>
      <c r="E59" s="6"/>
      <c r="F59" s="6"/>
      <c r="G59" s="6"/>
      <c r="H59" s="6"/>
      <c r="I59" s="6"/>
      <c r="J59" s="6"/>
      <c r="K59" s="6"/>
      <c r="L59" s="6"/>
      <c r="M59" s="6"/>
      <c r="N59" s="6"/>
      <c r="O59" s="6"/>
      <c r="P59" s="6"/>
      <c r="Q59" s="6"/>
      <c r="R59" s="6"/>
      <c r="S59" s="6"/>
      <c r="T59" s="6"/>
      <c r="U59" s="6"/>
      <c r="V59" s="6"/>
      <c r="W59" s="6"/>
      <c r="AB59" s="27" t="str">
        <f>IFERROR(VLOOKUP(AB58,Dates!$B:$D,3,FALSE),"")</f>
        <v>1Q20</v>
      </c>
      <c r="AC59" s="27" t="str">
        <f>IFERROR(VLOOKUP(AC58,Dates!$B:$D,3,FALSE),"")</f>
        <v>2Q20</v>
      </c>
      <c r="AD59" s="27" t="str">
        <f>IFERROR(VLOOKUP(AD58,Dates!$B:$D,3,FALSE),"")</f>
        <v>3Q20</v>
      </c>
      <c r="AE59" s="27" t="str">
        <f>IFERROR(VLOOKUP(AE58,Dates!$B:$D,3,FALSE),"")</f>
        <v>4Q20</v>
      </c>
      <c r="AF59" s="27" t="str">
        <f>IFERROR(VLOOKUP(AF58,Dates!$B:$D,3,FALSE),"")</f>
        <v>1Q21</v>
      </c>
      <c r="AG59" s="27" t="str">
        <f>IFERROR(VLOOKUP(AG58,Dates!$B:$D,3,FALSE),"")</f>
        <v>2Q21</v>
      </c>
      <c r="AH59" s="27" t="str">
        <f>IFERROR(VLOOKUP(AH58,Dates!$B:$D,3,FALSE),"")</f>
        <v>3Q21</v>
      </c>
      <c r="AI59" s="27" t="str">
        <f>IFERROR(VLOOKUP(AI58,Dates!$B:$D,3,FALSE),"")</f>
        <v>4Q21</v>
      </c>
      <c r="AJ59" s="27" t="str">
        <f>IFERROR(VLOOKUP(AJ58,Dates!$B:$D,3,FALSE),"")</f>
        <v>1Q22</v>
      </c>
      <c r="AK59" s="27" t="str">
        <f>IFERROR(VLOOKUP(AK58,Dates!$B:$D,3,FALSE),"")</f>
        <v>2Q22</v>
      </c>
      <c r="AL59" s="27" t="str">
        <f>IFERROR(VLOOKUP(AL58,Dates!$B:$D,3,FALSE),"")</f>
        <v>3Q22</v>
      </c>
      <c r="AM59" s="27" t="str">
        <f>IFERROR(VLOOKUP(AM58,Dates!$B:$D,3,FALSE),"")</f>
        <v>4Q22</v>
      </c>
      <c r="AN59" s="27" t="str">
        <f>IFERROR(VLOOKUP(AN58,Dates!$B:$D,3,FALSE),"")</f>
        <v>1Q23</v>
      </c>
      <c r="AO59" s="27" t="str">
        <f>IFERROR(VLOOKUP(AO58,Dates!$B:$D,3,FALSE),"")</f>
        <v>2Q23</v>
      </c>
      <c r="AP59" s="27" t="str">
        <f>IFERROR(VLOOKUP(AP58,Dates!$B:$D,3,FALSE),"")</f>
        <v>3Q23</v>
      </c>
      <c r="AQ59" s="27" t="str">
        <f>IFERROR(VLOOKUP(AQ58,Dates!$B:$D,3,FALSE),"")</f>
        <v>4Q23</v>
      </c>
      <c r="AR59" s="27" t="str">
        <f>IFERROR(VLOOKUP(AR58,Dates!$B:$D,3,FALSE),"")</f>
        <v>1Q24</v>
      </c>
      <c r="AS59" s="27" t="str">
        <f>IFERROR(VLOOKUP(AS58,Dates!$B:$D,3,FALSE),"")</f>
        <v>2Q24</v>
      </c>
      <c r="AT59" s="27" t="str">
        <f>IFERROR(VLOOKUP(AT58,Dates!$B:$D,3,FALSE),"")</f>
        <v>3Q24</v>
      </c>
      <c r="AU59" s="28" t="str">
        <f>$G$3</f>
        <v>4Q24</v>
      </c>
    </row>
    <row r="60" spans="1:47" x14ac:dyDescent="0.35">
      <c r="A60" s="6"/>
      <c r="B60" s="6"/>
      <c r="C60" s="6"/>
      <c r="D60" s="6"/>
      <c r="E60" s="6"/>
      <c r="F60" s="6"/>
      <c r="G60" s="6"/>
      <c r="H60" s="6"/>
      <c r="I60" s="6"/>
      <c r="J60" s="6"/>
      <c r="K60" s="6"/>
      <c r="L60" s="6"/>
      <c r="M60" s="6"/>
      <c r="N60" s="6"/>
      <c r="O60" s="6"/>
      <c r="P60" s="6"/>
      <c r="Q60" s="6"/>
      <c r="R60" s="6"/>
      <c r="S60" s="6"/>
      <c r="T60" s="6"/>
      <c r="U60" s="6"/>
      <c r="V60" s="6"/>
      <c r="W60" s="6"/>
      <c r="AA60" s="29" t="str">
        <f>'Domestic Mobile Operations'!A61</f>
        <v>Prepaid share of mobile service revs</v>
      </c>
      <c r="AB60" s="31">
        <f>IFERROR(INDEX('Domestic Mobile Operations'!$A:$AAZ,MATCH($AA60,'Domestic Mobile Operations'!$A:$A,0),MATCH(AB59,'Domestic Mobile Operations'!$1:$1,0)),"")</f>
        <v>0.4204946996466431</v>
      </c>
      <c r="AC60" s="31">
        <f>IFERROR(INDEX('Domestic Mobile Operations'!$A:$AAZ,MATCH($AA60,'Domestic Mobile Operations'!$A:$A,0),MATCH(AC59,'Domestic Mobile Operations'!$1:$1,0)),"")</f>
        <v>0.41325301204819276</v>
      </c>
      <c r="AD60" s="31">
        <f>IFERROR(INDEX('Domestic Mobile Operations'!$A:$AAZ,MATCH($AA60,'Domestic Mobile Operations'!$A:$A,0),MATCH(AD59,'Domestic Mobile Operations'!$1:$1,0)),"")</f>
        <v>0.42857142857142855</v>
      </c>
      <c r="AE60" s="31">
        <f>IFERROR(INDEX('Domestic Mobile Operations'!$A:$AAZ,MATCH($AA60,'Domestic Mobile Operations'!$A:$A,0),MATCH(AE59,'Domestic Mobile Operations'!$1:$1,0)),"")</f>
        <v>0.41852074564040892</v>
      </c>
      <c r="AF60" s="31">
        <f>IFERROR(INDEX('Domestic Mobile Operations'!$A:$AAZ,MATCH($AA60,'Domestic Mobile Operations'!$A:$A,0),MATCH(AF59,'Domestic Mobile Operations'!$1:$1,0)),"")</f>
        <v>0.41466346153846156</v>
      </c>
      <c r="AG60" s="31">
        <f>IFERROR(INDEX('Domestic Mobile Operations'!$A:$AAZ,MATCH($AA60,'Domestic Mobile Operations'!$A:$A,0),MATCH(AG59,'Domestic Mobile Operations'!$1:$1,0)),"")</f>
        <v>0.40604623592175459</v>
      </c>
      <c r="AH60" s="31">
        <f>IFERROR(INDEX('Domestic Mobile Operations'!$A:$AAZ,MATCH($AA60,'Domestic Mobile Operations'!$A:$A,0),MATCH(AH59,'Domestic Mobile Operations'!$1:$1,0)),"")</f>
        <v>0.39941690962099125</v>
      </c>
      <c r="AI60" s="31">
        <f>IFERROR(INDEX('Domestic Mobile Operations'!$A:$AAZ,MATCH($AA60,'Domestic Mobile Operations'!$A:$A,0),MATCH(AI59,'Domestic Mobile Operations'!$1:$1,0)),"")</f>
        <v>0.39127837514934288</v>
      </c>
      <c r="AJ60" s="31">
        <f>IFERROR(INDEX('Domestic Mobile Operations'!$A:$AAZ,MATCH($AA60,'Domestic Mobile Operations'!$A:$A,0),MATCH(AJ59,'Domestic Mobile Operations'!$1:$1,0)),"")</f>
        <v>0.38692579505300351</v>
      </c>
      <c r="AK60" s="31">
        <f>IFERROR(INDEX('Domestic Mobile Operations'!$A:$AAZ,MATCH($AA60,'Domestic Mobile Operations'!$A:$A,0),MATCH(AK59,'Domestic Mobile Operations'!$1:$1,0)),"")</f>
        <v>0.38844393592677345</v>
      </c>
      <c r="AL60" s="31">
        <f>IFERROR(INDEX('Domestic Mobile Operations'!$A:$AAZ,MATCH($AA60,'Domestic Mobile Operations'!$A:$A,0),MATCH(AL59,'Domestic Mobile Operations'!$1:$1,0)),"")</f>
        <v>0.38235294117647056</v>
      </c>
      <c r="AM60" s="31">
        <f>IFERROR(INDEX('Domestic Mobile Operations'!$A:$AAZ,MATCH($AA60,'Domestic Mobile Operations'!$A:$A,0),MATCH(AM59,'Domestic Mobile Operations'!$1:$1,0)),"")</f>
        <v>0.37981037367540438</v>
      </c>
      <c r="AN60" s="31">
        <f>IFERROR(INDEX('Domestic Mobile Operations'!$A:$AAZ,MATCH($AA60,'Domestic Mobile Operations'!$A:$A,0),MATCH(AN59,'Domestic Mobile Operations'!$1:$1,0)),"")</f>
        <v>0.37051569506726456</v>
      </c>
      <c r="AO60" s="31">
        <f>IFERROR(INDEX('Domestic Mobile Operations'!$A:$AAZ,MATCH($AA60,'Domestic Mobile Operations'!$A:$A,0),MATCH(AO59,'Domestic Mobile Operations'!$1:$1,0)),"")</f>
        <v>0.36593591905564926</v>
      </c>
      <c r="AP60" s="31">
        <f>IFERROR(INDEX('Domestic Mobile Operations'!$A:$AAZ,MATCH($AA60,'Domestic Mobile Operations'!$A:$A,0),MATCH(AP59,'Domestic Mobile Operations'!$1:$1,0)),"")</f>
        <v>0.36101882613510522</v>
      </c>
      <c r="AQ60" s="31">
        <f>IFERROR(INDEX('Domestic Mobile Operations'!$A:$AAZ,MATCH($AA60,'Domestic Mobile Operations'!$A:$A,0),MATCH(AQ59,'Domestic Mobile Operations'!$1:$1,0)),"")</f>
        <v>0.35578489951113523</v>
      </c>
      <c r="AR60" s="31">
        <f>IFERROR(INDEX('Domestic Mobile Operations'!$A:$AAZ,MATCH($AA60,'Domestic Mobile Operations'!$A:$A,0),MATCH(AR59,'Domestic Mobile Operations'!$1:$1,0)),"")</f>
        <v>0.35290918977705277</v>
      </c>
      <c r="AS60" s="31">
        <f>IFERROR(INDEX('Domestic Mobile Operations'!$A:$AAZ,MATCH($AA60,'Domestic Mobile Operations'!$A:$A,0),MATCH(AS59,'Domestic Mobile Operations'!$1:$1,0)),"")</f>
        <v>0.35045970795024339</v>
      </c>
      <c r="AT60" s="31">
        <f>IFERROR(INDEX('Domestic Mobile Operations'!$A:$AAZ,MATCH($AA60,'Domestic Mobile Operations'!$A:$A,0),MATCH(AT59,'Domestic Mobile Operations'!$1:$1,0)),"")</f>
        <v>0.34592552617377226</v>
      </c>
      <c r="AU60" s="31">
        <f>IFERROR(INDEX('Domestic Mobile Operations'!$A:$AAZ,MATCH($AA60,'Domestic Mobile Operations'!$A:$A,0),MATCH(AU59,'Domestic Mobile Operations'!$1:$1,0)),"")</f>
        <v>0.33583288698446706</v>
      </c>
    </row>
    <row r="61" spans="1:47" x14ac:dyDescent="0.35">
      <c r="A61" s="6"/>
      <c r="B61" s="6"/>
      <c r="C61" s="6"/>
      <c r="D61" s="6"/>
      <c r="E61" s="6"/>
      <c r="F61" s="6"/>
      <c r="G61" s="6"/>
      <c r="H61" s="6"/>
      <c r="I61" s="6"/>
      <c r="J61" s="6"/>
      <c r="K61" s="6"/>
      <c r="L61" s="6"/>
      <c r="M61" s="6"/>
      <c r="N61" s="6"/>
      <c r="O61" s="6"/>
      <c r="P61" s="6"/>
      <c r="Q61" s="6"/>
      <c r="R61" s="6"/>
      <c r="S61" s="6"/>
      <c r="T61" s="6"/>
      <c r="U61" s="6"/>
      <c r="V61" s="6"/>
      <c r="W61" s="6"/>
      <c r="AA61" s="29" t="str">
        <f>'Domestic Mobile Operations'!A62</f>
        <v>Postpaid share of mobile service revs</v>
      </c>
      <c r="AB61" s="31">
        <f>IFERROR(INDEX('Domestic Mobile Operations'!$A:$AAZ,MATCH($AA61,'Domestic Mobile Operations'!$A:$A,0),MATCH(AB59,'Domestic Mobile Operations'!$1:$1,0)),"")</f>
        <v>0.5795053003533569</v>
      </c>
      <c r="AC61" s="31">
        <f>IFERROR(INDEX('Domestic Mobile Operations'!$A:$AAZ,MATCH($AA61,'Domestic Mobile Operations'!$A:$A,0),MATCH(AC59,'Domestic Mobile Operations'!$1:$1,0)),"")</f>
        <v>0.58674698795180724</v>
      </c>
      <c r="AD61" s="31">
        <f>IFERROR(INDEX('Domestic Mobile Operations'!$A:$AAZ,MATCH($AA61,'Domestic Mobile Operations'!$A:$A,0),MATCH(AD59,'Domestic Mobile Operations'!$1:$1,0)),"")</f>
        <v>0.5714285714285714</v>
      </c>
      <c r="AE61" s="31">
        <f>IFERROR(INDEX('Domestic Mobile Operations'!$A:$AAZ,MATCH($AA61,'Domestic Mobile Operations'!$A:$A,0),MATCH(AE59,'Domestic Mobile Operations'!$1:$1,0)),"")</f>
        <v>0.58147925435959114</v>
      </c>
      <c r="AF61" s="31">
        <f>IFERROR(INDEX('Domestic Mobile Operations'!$A:$AAZ,MATCH($AA61,'Domestic Mobile Operations'!$A:$A,0),MATCH(AF59,'Domestic Mobile Operations'!$1:$1,0)),"")</f>
        <v>0.58533653846153844</v>
      </c>
      <c r="AG61" s="31">
        <f>IFERROR(INDEX('Domestic Mobile Operations'!$A:$AAZ,MATCH($AA61,'Domestic Mobile Operations'!$A:$A,0),MATCH(AG59,'Domestic Mobile Operations'!$1:$1,0)),"")</f>
        <v>0.59395376407824541</v>
      </c>
      <c r="AH61" s="31">
        <f>IFERROR(INDEX('Domestic Mobile Operations'!$A:$AAZ,MATCH($AA61,'Domestic Mobile Operations'!$A:$A,0),MATCH(AH59,'Domestic Mobile Operations'!$1:$1,0)),"")</f>
        <v>0.6005830903790087</v>
      </c>
      <c r="AI61" s="31">
        <f>IFERROR(INDEX('Domestic Mobile Operations'!$A:$AAZ,MATCH($AA61,'Domestic Mobile Operations'!$A:$A,0),MATCH(AI59,'Domestic Mobile Operations'!$1:$1,0)),"")</f>
        <v>0.60872162485065706</v>
      </c>
      <c r="AJ61" s="31">
        <f>IFERROR(INDEX('Domestic Mobile Operations'!$A:$AAZ,MATCH($AA61,'Domestic Mobile Operations'!$A:$A,0),MATCH(AJ59,'Domestic Mobile Operations'!$1:$1,0)),"")</f>
        <v>0.61307420494699649</v>
      </c>
      <c r="AK61" s="31">
        <f>IFERROR(INDEX('Domestic Mobile Operations'!$A:$AAZ,MATCH($AA61,'Domestic Mobile Operations'!$A:$A,0),MATCH(AK59,'Domestic Mobile Operations'!$1:$1,0)),"")</f>
        <v>0.61155606407322649</v>
      </c>
      <c r="AL61" s="31">
        <f>IFERROR(INDEX('Domestic Mobile Operations'!$A:$AAZ,MATCH($AA61,'Domestic Mobile Operations'!$A:$A,0),MATCH(AL59,'Domestic Mobile Operations'!$1:$1,0)),"")</f>
        <v>0.61764705882352944</v>
      </c>
      <c r="AM61" s="31">
        <f>IFERROR(INDEX('Domestic Mobile Operations'!$A:$AAZ,MATCH($AA61,'Domestic Mobile Operations'!$A:$A,0),MATCH(AM59,'Domestic Mobile Operations'!$1:$1,0)),"")</f>
        <v>0.62018962632459562</v>
      </c>
      <c r="AN61" s="31">
        <f>IFERROR(INDEX('Domestic Mobile Operations'!$A:$AAZ,MATCH($AA61,'Domestic Mobile Operations'!$A:$A,0),MATCH(AN59,'Domestic Mobile Operations'!$1:$1,0)),"")</f>
        <v>0.62948430493273544</v>
      </c>
      <c r="AO61" s="31">
        <f>IFERROR(INDEX('Domestic Mobile Operations'!$A:$AAZ,MATCH($AA61,'Domestic Mobile Operations'!$A:$A,0),MATCH(AO59,'Domestic Mobile Operations'!$1:$1,0)),"")</f>
        <v>0.63406408094435074</v>
      </c>
      <c r="AP61" s="31">
        <f>IFERROR(INDEX('Domestic Mobile Operations'!$A:$AAZ,MATCH($AA61,'Domestic Mobile Operations'!$A:$A,0),MATCH(AP59,'Domestic Mobile Operations'!$1:$1,0)),"")</f>
        <v>0.63898117386489484</v>
      </c>
      <c r="AQ61" s="31">
        <f>IFERROR(INDEX('Domestic Mobile Operations'!$A:$AAZ,MATCH($AA61,'Domestic Mobile Operations'!$A:$A,0),MATCH(AQ59,'Domestic Mobile Operations'!$1:$1,0)),"")</f>
        <v>0.64421510048886477</v>
      </c>
      <c r="AR61" s="31">
        <f>IFERROR(INDEX('Domestic Mobile Operations'!$A:$AAZ,MATCH($AA61,'Domestic Mobile Operations'!$A:$A,0),MATCH(AR59,'Domestic Mobile Operations'!$1:$1,0)),"")</f>
        <v>0.64709081022294723</v>
      </c>
      <c r="AS61" s="31">
        <f>IFERROR(INDEX('Domestic Mobile Operations'!$A:$AAZ,MATCH($AA61,'Domestic Mobile Operations'!$A:$A,0),MATCH(AS59,'Domestic Mobile Operations'!$1:$1,0)),"")</f>
        <v>0.64954029204975661</v>
      </c>
      <c r="AT61" s="31">
        <f>IFERROR(INDEX('Domestic Mobile Operations'!$A:$AAZ,MATCH($AA61,'Domestic Mobile Operations'!$A:$A,0),MATCH(AT59,'Domestic Mobile Operations'!$1:$1,0)),"")</f>
        <v>0.65407447382622774</v>
      </c>
      <c r="AU61" s="31">
        <f>IFERROR(INDEX('Domestic Mobile Operations'!$A:$AAZ,MATCH($AA61,'Domestic Mobile Operations'!$A:$A,0),MATCH(AU59,'Domestic Mobile Operations'!$1:$1,0)),"")</f>
        <v>0.66416711301553299</v>
      </c>
    </row>
    <row r="62" spans="1:47" x14ac:dyDescent="0.35">
      <c r="A62" s="6"/>
      <c r="B62" s="6"/>
      <c r="C62" s="6"/>
      <c r="D62" s="6"/>
      <c r="E62" s="6"/>
      <c r="F62" s="6"/>
      <c r="G62" s="6"/>
      <c r="H62" s="6"/>
      <c r="I62" s="6"/>
      <c r="J62" s="6"/>
      <c r="K62" s="6"/>
      <c r="L62" s="6"/>
      <c r="M62" s="6"/>
      <c r="N62" s="6"/>
      <c r="O62" s="6"/>
      <c r="P62" s="6"/>
      <c r="Q62" s="6"/>
      <c r="R62" s="6"/>
      <c r="S62" s="6"/>
      <c r="T62" s="6"/>
      <c r="U62" s="6"/>
      <c r="V62" s="6"/>
      <c r="W62" s="6"/>
    </row>
    <row r="63" spans="1:47" x14ac:dyDescent="0.35">
      <c r="A63" s="6"/>
      <c r="B63" s="6"/>
      <c r="C63" s="6"/>
      <c r="D63" s="6"/>
      <c r="E63" s="6"/>
      <c r="F63" s="6"/>
      <c r="G63" s="6"/>
      <c r="H63" s="6"/>
      <c r="I63" s="6"/>
      <c r="J63" s="6"/>
      <c r="K63" s="6"/>
      <c r="L63" s="6"/>
      <c r="M63" s="6"/>
      <c r="N63" s="6"/>
      <c r="O63" s="6"/>
      <c r="P63" s="6"/>
      <c r="Q63" s="6"/>
      <c r="R63" s="6"/>
      <c r="S63" s="6"/>
      <c r="T63" s="6"/>
      <c r="U63" s="6"/>
      <c r="V63" s="6"/>
      <c r="W63" s="6"/>
    </row>
    <row r="64" spans="1:47" x14ac:dyDescent="0.35">
      <c r="A64" s="6"/>
      <c r="B64" s="6" t="s">
        <v>194</v>
      </c>
      <c r="C64" s="6"/>
      <c r="D64" s="6"/>
      <c r="E64" s="6"/>
      <c r="F64" s="6"/>
      <c r="G64" s="6"/>
      <c r="H64" s="6"/>
      <c r="I64" s="6"/>
      <c r="J64" s="6"/>
      <c r="K64" s="6"/>
      <c r="L64" s="6"/>
      <c r="M64" s="6"/>
      <c r="N64" s="6"/>
      <c r="O64" s="6"/>
      <c r="P64" s="6"/>
      <c r="Q64" s="6"/>
      <c r="R64" s="6"/>
      <c r="S64" s="6"/>
      <c r="T64" s="6"/>
      <c r="U64" s="6"/>
      <c r="V64" s="6"/>
      <c r="W64" s="6"/>
    </row>
    <row r="65" spans="1:47" x14ac:dyDescent="0.35">
      <c r="A65" s="6"/>
      <c r="B65" s="6"/>
      <c r="C65" s="6"/>
      <c r="D65" s="6"/>
      <c r="E65" s="6"/>
      <c r="F65" s="6"/>
      <c r="G65" s="6"/>
      <c r="H65" s="6"/>
      <c r="I65" s="6"/>
      <c r="J65" s="6"/>
      <c r="K65" s="6"/>
      <c r="L65" s="6"/>
      <c r="M65" s="6"/>
      <c r="N65" s="6"/>
      <c r="O65" s="6"/>
      <c r="P65" s="6"/>
      <c r="Q65" s="6"/>
      <c r="R65" s="6"/>
      <c r="S65" s="6"/>
      <c r="T65" s="6"/>
      <c r="U65" s="6"/>
      <c r="V65" s="6"/>
      <c r="W65" s="6"/>
    </row>
    <row r="66" spans="1:47" x14ac:dyDescent="0.35">
      <c r="A66" s="1" t="s">
        <v>51</v>
      </c>
      <c r="B66" s="1"/>
      <c r="C66" s="1"/>
      <c r="D66" s="1"/>
      <c r="E66" s="1"/>
      <c r="F66" s="1"/>
      <c r="G66" s="1"/>
      <c r="H66" s="1"/>
      <c r="I66" s="1"/>
      <c r="J66" s="1"/>
      <c r="K66" s="1"/>
      <c r="L66" s="1"/>
      <c r="M66" s="1"/>
      <c r="N66" s="1"/>
      <c r="O66" s="1"/>
      <c r="P66" s="1"/>
      <c r="Q66" s="1"/>
      <c r="R66" s="1"/>
      <c r="S66" s="1"/>
      <c r="T66" s="1"/>
      <c r="U66" s="6"/>
      <c r="V66" s="6"/>
      <c r="W66" s="6"/>
    </row>
    <row r="67" spans="1:47" x14ac:dyDescent="0.35">
      <c r="A67" s="1" t="s">
        <v>27</v>
      </c>
      <c r="B67" s="1" t="s">
        <v>175</v>
      </c>
      <c r="C67" s="1"/>
      <c r="D67" s="1"/>
      <c r="E67" s="1"/>
      <c r="F67" s="1"/>
      <c r="G67" s="1"/>
      <c r="H67" s="1"/>
      <c r="I67" s="1"/>
      <c r="J67" s="1"/>
      <c r="K67" s="1" t="s">
        <v>28</v>
      </c>
      <c r="L67" s="1" t="s">
        <v>176</v>
      </c>
      <c r="M67" s="1"/>
      <c r="N67" s="1"/>
      <c r="O67" s="1"/>
      <c r="P67" s="1"/>
      <c r="Q67" s="1"/>
      <c r="R67" s="1"/>
      <c r="S67" s="1"/>
      <c r="T67" s="1"/>
      <c r="U67" s="6"/>
      <c r="V67" s="6"/>
      <c r="W67" s="6"/>
    </row>
    <row r="68" spans="1:47" x14ac:dyDescent="0.35">
      <c r="A68" s="6"/>
      <c r="B68" s="6"/>
      <c r="C68" s="6"/>
      <c r="D68" s="6"/>
      <c r="E68" s="6"/>
      <c r="F68" s="6"/>
      <c r="G68" s="6"/>
      <c r="H68" s="6"/>
      <c r="I68" s="6"/>
      <c r="J68" s="6"/>
      <c r="K68" s="6"/>
      <c r="L68" s="6"/>
      <c r="M68" s="6"/>
      <c r="N68" s="6"/>
      <c r="O68" s="6"/>
      <c r="P68" s="6"/>
      <c r="Q68" s="6"/>
      <c r="R68" s="6"/>
      <c r="S68" s="6"/>
      <c r="T68" s="6"/>
      <c r="U68" s="6"/>
      <c r="V68" s="6"/>
      <c r="W68" s="6"/>
    </row>
    <row r="69" spans="1:47" x14ac:dyDescent="0.35">
      <c r="A69" s="6"/>
      <c r="B69" s="6"/>
      <c r="C69" s="6"/>
      <c r="D69" s="6"/>
      <c r="E69" s="6"/>
      <c r="F69" s="6"/>
      <c r="G69" s="6"/>
      <c r="H69" s="6"/>
      <c r="I69" s="6"/>
      <c r="J69" s="6"/>
      <c r="K69" s="6"/>
      <c r="L69" s="6"/>
      <c r="M69" s="6"/>
      <c r="N69" s="6"/>
      <c r="O69" s="6"/>
      <c r="P69" s="6"/>
      <c r="Q69" s="6"/>
      <c r="R69" s="6"/>
      <c r="S69" s="6"/>
      <c r="T69" s="6"/>
      <c r="U69" s="6"/>
      <c r="V69" s="6"/>
      <c r="W69" s="6"/>
    </row>
    <row r="70" spans="1:47" x14ac:dyDescent="0.35">
      <c r="A70" s="6"/>
      <c r="B70" s="6"/>
      <c r="C70" s="6"/>
      <c r="D70" s="6"/>
      <c r="E70" s="6"/>
      <c r="F70" s="6"/>
      <c r="G70" s="6"/>
      <c r="H70" s="6"/>
      <c r="I70" s="6"/>
      <c r="J70" s="6"/>
      <c r="K70" s="6"/>
      <c r="L70" s="6"/>
      <c r="M70" s="6"/>
      <c r="N70" s="6"/>
      <c r="O70" s="6"/>
      <c r="P70" s="6"/>
      <c r="Q70" s="6"/>
      <c r="R70" s="6"/>
      <c r="S70" s="6"/>
      <c r="T70" s="6"/>
      <c r="U70" s="6"/>
      <c r="V70" s="6"/>
      <c r="W70" s="6"/>
      <c r="AB70" s="27">
        <f t="shared" ref="AB70" si="91">AC70-1</f>
        <v>33</v>
      </c>
      <c r="AC70" s="27">
        <f t="shared" ref="AC70" si="92">AD70-1</f>
        <v>34</v>
      </c>
      <c r="AD70" s="27">
        <f t="shared" ref="AD70" si="93">AE70-1</f>
        <v>35</v>
      </c>
      <c r="AE70" s="27">
        <f t="shared" ref="AE70" si="94">AF70-1</f>
        <v>36</v>
      </c>
      <c r="AF70" s="27">
        <f t="shared" ref="AF70" si="95">AG70-1</f>
        <v>37</v>
      </c>
      <c r="AG70" s="27">
        <f t="shared" ref="AG70" si="96">AH70-1</f>
        <v>38</v>
      </c>
      <c r="AH70" s="27">
        <f t="shared" ref="AH70" si="97">AI70-1</f>
        <v>39</v>
      </c>
      <c r="AI70" s="27">
        <f t="shared" ref="AI70" si="98">AJ70-1</f>
        <v>40</v>
      </c>
      <c r="AJ70" s="27">
        <f t="shared" ref="AJ70" si="99">AK70-1</f>
        <v>41</v>
      </c>
      <c r="AK70" s="27">
        <f t="shared" ref="AK70" si="100">AL70-1</f>
        <v>42</v>
      </c>
      <c r="AL70" s="27">
        <f t="shared" ref="AL70" si="101">AM70-1</f>
        <v>43</v>
      </c>
      <c r="AM70" s="27">
        <f t="shared" ref="AM70" si="102">AN70-1</f>
        <v>44</v>
      </c>
      <c r="AN70" s="27">
        <f t="shared" ref="AN70" si="103">AO70-1</f>
        <v>45</v>
      </c>
      <c r="AO70" s="27">
        <f t="shared" ref="AO70" si="104">AP70-1</f>
        <v>46</v>
      </c>
      <c r="AP70" s="27">
        <f t="shared" ref="AP70" si="105">AQ70-1</f>
        <v>47</v>
      </c>
      <c r="AQ70" s="27">
        <f t="shared" ref="AQ70" si="106">AR70-1</f>
        <v>48</v>
      </c>
      <c r="AR70" s="27">
        <f t="shared" ref="AR70" si="107">AS70-1</f>
        <v>49</v>
      </c>
      <c r="AS70" s="27">
        <f t="shared" ref="AS70" si="108">AT70-1</f>
        <v>50</v>
      </c>
      <c r="AT70" s="27">
        <f>AU70-1</f>
        <v>51</v>
      </c>
      <c r="AU70" s="27">
        <f>VLOOKUP(AU71,Dates!$A:$D,2,FALSE)</f>
        <v>52</v>
      </c>
    </row>
    <row r="71" spans="1:47" x14ac:dyDescent="0.35">
      <c r="A71" s="6"/>
      <c r="B71" s="6"/>
      <c r="C71" s="6"/>
      <c r="D71" s="6"/>
      <c r="E71" s="6"/>
      <c r="F71" s="6"/>
      <c r="G71" s="6"/>
      <c r="H71" s="6"/>
      <c r="I71" s="6"/>
      <c r="J71" s="6"/>
      <c r="K71" s="6"/>
      <c r="L71" s="6"/>
      <c r="M71" s="6"/>
      <c r="N71" s="6"/>
      <c r="O71" s="6"/>
      <c r="P71" s="6"/>
      <c r="Q71" s="6"/>
      <c r="R71" s="6"/>
      <c r="S71" s="6"/>
      <c r="T71" s="6"/>
      <c r="U71" s="6"/>
      <c r="V71" s="6"/>
      <c r="W71" s="6"/>
      <c r="AB71" s="27" t="str">
        <f>IFERROR(VLOOKUP(AB70,Dates!$B:$D,3,FALSE),"")</f>
        <v>1Q20</v>
      </c>
      <c r="AC71" s="27" t="str">
        <f>IFERROR(VLOOKUP(AC70,Dates!$B:$D,3,FALSE),"")</f>
        <v>2Q20</v>
      </c>
      <c r="AD71" s="27" t="str">
        <f>IFERROR(VLOOKUP(AD70,Dates!$B:$D,3,FALSE),"")</f>
        <v>3Q20</v>
      </c>
      <c r="AE71" s="27" t="str">
        <f>IFERROR(VLOOKUP(AE70,Dates!$B:$D,3,FALSE),"")</f>
        <v>4Q20</v>
      </c>
      <c r="AF71" s="27" t="str">
        <f>IFERROR(VLOOKUP(AF70,Dates!$B:$D,3,FALSE),"")</f>
        <v>1Q21</v>
      </c>
      <c r="AG71" s="27" t="str">
        <f>IFERROR(VLOOKUP(AG70,Dates!$B:$D,3,FALSE),"")</f>
        <v>2Q21</v>
      </c>
      <c r="AH71" s="27" t="str">
        <f>IFERROR(VLOOKUP(AH70,Dates!$B:$D,3,FALSE),"")</f>
        <v>3Q21</v>
      </c>
      <c r="AI71" s="27" t="str">
        <f>IFERROR(VLOOKUP(AI70,Dates!$B:$D,3,FALSE),"")</f>
        <v>4Q21</v>
      </c>
      <c r="AJ71" s="27" t="str">
        <f>IFERROR(VLOOKUP(AJ70,Dates!$B:$D,3,FALSE),"")</f>
        <v>1Q22</v>
      </c>
      <c r="AK71" s="27" t="str">
        <f>IFERROR(VLOOKUP(AK70,Dates!$B:$D,3,FALSE),"")</f>
        <v>2Q22</v>
      </c>
      <c r="AL71" s="27" t="str">
        <f>IFERROR(VLOOKUP(AL70,Dates!$B:$D,3,FALSE),"")</f>
        <v>3Q22</v>
      </c>
      <c r="AM71" s="27" t="str">
        <f>IFERROR(VLOOKUP(AM70,Dates!$B:$D,3,FALSE),"")</f>
        <v>4Q22</v>
      </c>
      <c r="AN71" s="27" t="str">
        <f>IFERROR(VLOOKUP(AN70,Dates!$B:$D,3,FALSE),"")</f>
        <v>1Q23</v>
      </c>
      <c r="AO71" s="27" t="str">
        <f>IFERROR(VLOOKUP(AO70,Dates!$B:$D,3,FALSE),"")</f>
        <v>2Q23</v>
      </c>
      <c r="AP71" s="27" t="str">
        <f>IFERROR(VLOOKUP(AP70,Dates!$B:$D,3,FALSE),"")</f>
        <v>3Q23</v>
      </c>
      <c r="AQ71" s="27" t="str">
        <f>IFERROR(VLOOKUP(AQ70,Dates!$B:$D,3,FALSE),"")</f>
        <v>4Q23</v>
      </c>
      <c r="AR71" s="27" t="str">
        <f>IFERROR(VLOOKUP(AR70,Dates!$B:$D,3,FALSE),"")</f>
        <v>1Q24</v>
      </c>
      <c r="AS71" s="27" t="str">
        <f>IFERROR(VLOOKUP(AS70,Dates!$B:$D,3,FALSE),"")</f>
        <v>2Q24</v>
      </c>
      <c r="AT71" s="27" t="str">
        <f>IFERROR(VLOOKUP(AT70,Dates!$B:$D,3,FALSE),"")</f>
        <v>3Q24</v>
      </c>
      <c r="AU71" s="28" t="str">
        <f>$G$3</f>
        <v>4Q24</v>
      </c>
    </row>
    <row r="72" spans="1:47" x14ac:dyDescent="0.35">
      <c r="A72" s="6"/>
      <c r="B72" s="6"/>
      <c r="C72" s="6"/>
      <c r="D72" s="6"/>
      <c r="E72" s="6"/>
      <c r="F72" s="6"/>
      <c r="G72" s="6"/>
      <c r="H72" s="6"/>
      <c r="I72" s="6"/>
      <c r="J72" s="6"/>
      <c r="K72" s="6"/>
      <c r="L72" s="6"/>
      <c r="M72" s="6"/>
      <c r="N72" s="6"/>
      <c r="O72" s="6"/>
      <c r="P72" s="6"/>
      <c r="Q72" s="6"/>
      <c r="R72" s="6"/>
      <c r="S72" s="6"/>
      <c r="T72" s="6"/>
      <c r="U72" s="6"/>
      <c r="V72" s="6"/>
      <c r="W72" s="6"/>
      <c r="AA72" s="29" t="str">
        <f>'Domestic Mobile Operations'!A67</f>
        <v>Prepaid Total minutes of use</v>
      </c>
      <c r="AB72" s="30">
        <f>IFERROR(INDEX('Domestic Mobile Operations'!$A:$AAZ,MATCH($AA72,'Domestic Mobile Operations'!$A:$A,0),MATCH(AB71,'Domestic Mobile Operations'!$1:$1,0)),"")</f>
        <v>2657.34</v>
      </c>
      <c r="AC72" s="30">
        <f>IFERROR(INDEX('Domestic Mobile Operations'!$A:$AAZ,MATCH($AA72,'Domestic Mobile Operations'!$A:$A,0),MATCH(AC71,'Domestic Mobile Operations'!$1:$1,0)),"")</f>
        <v>2739.24</v>
      </c>
      <c r="AD72" s="30">
        <f>IFERROR(INDEX('Domestic Mobile Operations'!$A:$AAZ,MATCH($AA72,'Domestic Mobile Operations'!$A:$A,0),MATCH(AD71,'Domestic Mobile Operations'!$1:$1,0)),"")</f>
        <v>2695.86</v>
      </c>
      <c r="AE72" s="30">
        <f>IFERROR(INDEX('Domestic Mobile Operations'!$A:$AAZ,MATCH($AA72,'Domestic Mobile Operations'!$A:$A,0),MATCH(AE71,'Domestic Mobile Operations'!$1:$1,0)),"")</f>
        <v>2581.1999999999998</v>
      </c>
      <c r="AF72" s="30">
        <f>IFERROR(INDEX('Domestic Mobile Operations'!$A:$AAZ,MATCH($AA72,'Domestic Mobile Operations'!$A:$A,0),MATCH(AF71,'Domestic Mobile Operations'!$1:$1,0)),"")</f>
        <v>2620.44</v>
      </c>
      <c r="AG72" s="30">
        <f>IFERROR(INDEX('Domestic Mobile Operations'!$A:$AAZ,MATCH($AA72,'Domestic Mobile Operations'!$A:$A,0),MATCH(AG71,'Domestic Mobile Operations'!$1:$1,0)),"")</f>
        <v>2650.5</v>
      </c>
      <c r="AH72" s="30">
        <f>IFERROR(INDEX('Domestic Mobile Operations'!$A:$AAZ,MATCH($AA72,'Domestic Mobile Operations'!$A:$A,0),MATCH(AH71,'Domestic Mobile Operations'!$1:$1,0)),"")</f>
        <v>2644.92</v>
      </c>
      <c r="AI72" s="30">
        <f>IFERROR(INDEX('Domestic Mobile Operations'!$A:$AAZ,MATCH($AA72,'Domestic Mobile Operations'!$A:$A,0),MATCH(AI71,'Domestic Mobile Operations'!$1:$1,0)),"")</f>
        <v>2644.74</v>
      </c>
      <c r="AJ72" s="30">
        <f>IFERROR(INDEX('Domestic Mobile Operations'!$A:$AAZ,MATCH($AA72,'Domestic Mobile Operations'!$A:$A,0),MATCH(AJ71,'Domestic Mobile Operations'!$1:$1,0)),"")</f>
        <v>2601.1799999999998</v>
      </c>
      <c r="AK72" s="30">
        <f>IFERROR(INDEX('Domestic Mobile Operations'!$A:$AAZ,MATCH($AA72,'Domestic Mobile Operations'!$A:$A,0),MATCH(AK71,'Domestic Mobile Operations'!$1:$1,0)),"")</f>
        <v>2563.38</v>
      </c>
      <c r="AL72" s="30">
        <f>IFERROR(INDEX('Domestic Mobile Operations'!$A:$AAZ,MATCH($AA72,'Domestic Mobile Operations'!$A:$A,0),MATCH(AL71,'Domestic Mobile Operations'!$1:$1,0)),"")</f>
        <v>2580.66</v>
      </c>
      <c r="AM72" s="30">
        <f>IFERROR(INDEX('Domestic Mobile Operations'!$A:$AAZ,MATCH($AA72,'Domestic Mobile Operations'!$A:$A,0),MATCH(AM71,'Domestic Mobile Operations'!$1:$1,0)),"")</f>
        <v>2580.3000000000002</v>
      </c>
      <c r="AN72" s="30">
        <f>IFERROR(INDEX('Domestic Mobile Operations'!$A:$AAZ,MATCH($AA72,'Domestic Mobile Operations'!$A:$A,0),MATCH(AN71,'Domestic Mobile Operations'!$1:$1,0)),"")</f>
        <v>2569.14</v>
      </c>
      <c r="AO72" s="30">
        <f>IFERROR(INDEX('Domestic Mobile Operations'!$A:$AAZ,MATCH($AA72,'Domestic Mobile Operations'!$A:$A,0),MATCH(AO71,'Domestic Mobile Operations'!$1:$1,0)),"")</f>
        <v>2548.44</v>
      </c>
      <c r="AP72" s="30">
        <f>IFERROR(INDEX('Domestic Mobile Operations'!$A:$AAZ,MATCH($AA72,'Domestic Mobile Operations'!$A:$A,0),MATCH(AP71,'Domestic Mobile Operations'!$1:$1,0)),"")</f>
        <v>2559.06</v>
      </c>
      <c r="AQ72" s="30">
        <f>IFERROR(INDEX('Domestic Mobile Operations'!$A:$AAZ,MATCH($AA72,'Domestic Mobile Operations'!$A:$A,0),MATCH(AQ71,'Domestic Mobile Operations'!$1:$1,0)),"")</f>
        <v>2659.32</v>
      </c>
      <c r="AR72" s="30">
        <f>IFERROR(INDEX('Domestic Mobile Operations'!$A:$AAZ,MATCH($AA72,'Domestic Mobile Operations'!$A:$A,0),MATCH(AR71,'Domestic Mobile Operations'!$1:$1,0)),"")</f>
        <v>2697.48</v>
      </c>
      <c r="AS72" s="30">
        <f>IFERROR(INDEX('Domestic Mobile Operations'!$A:$AAZ,MATCH($AA72,'Domestic Mobile Operations'!$A:$A,0),MATCH(AS71,'Domestic Mobile Operations'!$1:$1,0)),"")</f>
        <v>2680.92</v>
      </c>
      <c r="AT72" s="30">
        <f>IFERROR(INDEX('Domestic Mobile Operations'!$A:$AAZ,MATCH($AA72,'Domestic Mobile Operations'!$A:$A,0),MATCH(AT71,'Domestic Mobile Operations'!$1:$1,0)),"")</f>
        <v>2698.38</v>
      </c>
      <c r="AU72" s="30">
        <f>IFERROR(INDEX('Domestic Mobile Operations'!$A:$AAZ,MATCH($AA72,'Domestic Mobile Operations'!$A:$A,0),MATCH(AU71,'Domestic Mobile Operations'!$1:$1,0)),"")</f>
        <v>2687.76</v>
      </c>
    </row>
    <row r="73" spans="1:47" x14ac:dyDescent="0.35">
      <c r="A73" s="6"/>
      <c r="B73" s="6"/>
      <c r="C73" s="6"/>
      <c r="D73" s="6"/>
      <c r="E73" s="6"/>
      <c r="F73" s="6"/>
      <c r="G73" s="6"/>
      <c r="H73" s="6"/>
      <c r="I73" s="6"/>
      <c r="J73" s="6"/>
      <c r="K73" s="6"/>
      <c r="L73" s="6"/>
      <c r="M73" s="6"/>
      <c r="N73" s="6"/>
      <c r="O73" s="6"/>
      <c r="P73" s="6"/>
      <c r="Q73" s="6"/>
      <c r="R73" s="6"/>
      <c r="S73" s="6"/>
      <c r="T73" s="6"/>
      <c r="U73" s="6"/>
      <c r="V73" s="6"/>
      <c r="W73" s="6"/>
      <c r="AB73" s="30"/>
      <c r="AC73" s="30"/>
      <c r="AD73" s="30"/>
      <c r="AE73" s="30"/>
      <c r="AF73" s="30"/>
      <c r="AG73" s="30"/>
      <c r="AH73" s="30"/>
      <c r="AI73" s="30"/>
      <c r="AJ73" s="30"/>
      <c r="AK73" s="30"/>
      <c r="AL73" s="30"/>
      <c r="AM73" s="30"/>
      <c r="AN73" s="30"/>
      <c r="AO73" s="30"/>
      <c r="AP73" s="30"/>
      <c r="AQ73" s="30"/>
      <c r="AR73" s="30"/>
      <c r="AS73" s="30"/>
      <c r="AT73" s="30"/>
      <c r="AU73" s="30"/>
    </row>
    <row r="74" spans="1:47" x14ac:dyDescent="0.35">
      <c r="A74" s="6"/>
      <c r="B74" s="6"/>
      <c r="C74" s="6"/>
      <c r="D74" s="6"/>
      <c r="E74" s="6"/>
      <c r="F74" s="6"/>
      <c r="G74" s="6"/>
      <c r="H74" s="6"/>
      <c r="I74" s="6"/>
      <c r="J74" s="6"/>
      <c r="K74" s="6"/>
      <c r="L74" s="6"/>
      <c r="M74" s="6"/>
      <c r="N74" s="6"/>
      <c r="O74" s="6"/>
      <c r="P74" s="6"/>
      <c r="Q74" s="6"/>
      <c r="R74" s="6"/>
      <c r="S74" s="6"/>
      <c r="T74" s="6"/>
      <c r="U74" s="6"/>
      <c r="V74" s="6"/>
      <c r="W74" s="6"/>
    </row>
    <row r="75" spans="1:47" x14ac:dyDescent="0.35">
      <c r="A75" s="6"/>
      <c r="B75" s="6"/>
      <c r="C75" s="6"/>
      <c r="D75" s="6"/>
      <c r="E75" s="6"/>
      <c r="F75" s="6"/>
      <c r="G75" s="6"/>
      <c r="H75" s="6"/>
      <c r="I75" s="6"/>
      <c r="J75" s="6"/>
      <c r="K75" s="6"/>
      <c r="L75" s="6"/>
      <c r="M75" s="6"/>
      <c r="N75" s="6"/>
      <c r="O75" s="6"/>
      <c r="P75" s="6"/>
      <c r="Q75" s="6"/>
      <c r="R75" s="6"/>
      <c r="S75" s="6"/>
      <c r="T75" s="6"/>
      <c r="U75" s="6"/>
      <c r="V75" s="6"/>
      <c r="W75" s="6"/>
    </row>
    <row r="76" spans="1:47" x14ac:dyDescent="0.35">
      <c r="A76" s="6"/>
      <c r="B76" s="6"/>
      <c r="C76" s="6"/>
      <c r="D76" s="6"/>
      <c r="E76" s="6"/>
      <c r="F76" s="6"/>
      <c r="G76" s="6"/>
      <c r="H76" s="6"/>
      <c r="I76" s="6"/>
      <c r="J76" s="6"/>
      <c r="K76" s="6"/>
      <c r="L76" s="6"/>
      <c r="M76" s="6"/>
      <c r="N76" s="6"/>
      <c r="O76" s="6"/>
      <c r="P76" s="6"/>
      <c r="Q76" s="6"/>
      <c r="R76" s="6"/>
      <c r="S76" s="6"/>
      <c r="T76" s="6"/>
      <c r="U76" s="6"/>
      <c r="V76" s="6"/>
      <c r="W76" s="6"/>
      <c r="AB76" s="27">
        <f t="shared" ref="AB76" si="109">AC76-1</f>
        <v>33</v>
      </c>
      <c r="AC76" s="27">
        <f t="shared" ref="AC76" si="110">AD76-1</f>
        <v>34</v>
      </c>
      <c r="AD76" s="27">
        <f t="shared" ref="AD76" si="111">AE76-1</f>
        <v>35</v>
      </c>
      <c r="AE76" s="27">
        <f t="shared" ref="AE76" si="112">AF76-1</f>
        <v>36</v>
      </c>
      <c r="AF76" s="27">
        <f t="shared" ref="AF76" si="113">AG76-1</f>
        <v>37</v>
      </c>
      <c r="AG76" s="27">
        <f t="shared" ref="AG76" si="114">AH76-1</f>
        <v>38</v>
      </c>
      <c r="AH76" s="27">
        <f t="shared" ref="AH76" si="115">AI76-1</f>
        <v>39</v>
      </c>
      <c r="AI76" s="27">
        <f t="shared" ref="AI76" si="116">AJ76-1</f>
        <v>40</v>
      </c>
      <c r="AJ76" s="27">
        <f t="shared" ref="AJ76" si="117">AK76-1</f>
        <v>41</v>
      </c>
      <c r="AK76" s="27">
        <f t="shared" ref="AK76" si="118">AL76-1</f>
        <v>42</v>
      </c>
      <c r="AL76" s="27">
        <f t="shared" ref="AL76" si="119">AM76-1</f>
        <v>43</v>
      </c>
      <c r="AM76" s="27">
        <f t="shared" ref="AM76" si="120">AN76-1</f>
        <v>44</v>
      </c>
      <c r="AN76" s="27">
        <f t="shared" ref="AN76" si="121">AO76-1</f>
        <v>45</v>
      </c>
      <c r="AO76" s="27">
        <f t="shared" ref="AO76" si="122">AP76-1</f>
        <v>46</v>
      </c>
      <c r="AP76" s="27">
        <f t="shared" ref="AP76" si="123">AQ76-1</f>
        <v>47</v>
      </c>
      <c r="AQ76" s="27">
        <f t="shared" ref="AQ76" si="124">AR76-1</f>
        <v>48</v>
      </c>
      <c r="AR76" s="27">
        <f t="shared" ref="AR76" si="125">AS76-1</f>
        <v>49</v>
      </c>
      <c r="AS76" s="27">
        <f t="shared" ref="AS76" si="126">AT76-1</f>
        <v>50</v>
      </c>
      <c r="AT76" s="27">
        <f>AU76-1</f>
        <v>51</v>
      </c>
      <c r="AU76" s="27">
        <f>VLOOKUP(AU77,Dates!$A:$D,2,FALSE)</f>
        <v>52</v>
      </c>
    </row>
    <row r="77" spans="1:47" x14ac:dyDescent="0.35">
      <c r="A77" s="6"/>
      <c r="B77" s="6"/>
      <c r="C77" s="6"/>
      <c r="D77" s="6"/>
      <c r="E77" s="6"/>
      <c r="F77" s="6"/>
      <c r="G77" s="6"/>
      <c r="H77" s="6"/>
      <c r="I77" s="6"/>
      <c r="J77" s="6"/>
      <c r="K77" s="6"/>
      <c r="L77" s="6"/>
      <c r="M77" s="6"/>
      <c r="N77" s="6"/>
      <c r="O77" s="6"/>
      <c r="P77" s="6"/>
      <c r="Q77" s="6"/>
      <c r="R77" s="6"/>
      <c r="S77" s="6"/>
      <c r="T77" s="6"/>
      <c r="U77" s="6"/>
      <c r="V77" s="6"/>
      <c r="W77" s="6"/>
      <c r="AB77" s="27" t="str">
        <f>IFERROR(VLOOKUP(AB76,Dates!$B:$D,3,FALSE),"")</f>
        <v>1Q20</v>
      </c>
      <c r="AC77" s="27" t="str">
        <f>IFERROR(VLOOKUP(AC76,Dates!$B:$D,3,FALSE),"")</f>
        <v>2Q20</v>
      </c>
      <c r="AD77" s="27" t="str">
        <f>IFERROR(VLOOKUP(AD76,Dates!$B:$D,3,FALSE),"")</f>
        <v>3Q20</v>
      </c>
      <c r="AE77" s="27" t="str">
        <f>IFERROR(VLOOKUP(AE76,Dates!$B:$D,3,FALSE),"")</f>
        <v>4Q20</v>
      </c>
      <c r="AF77" s="27" t="str">
        <f>IFERROR(VLOOKUP(AF76,Dates!$B:$D,3,FALSE),"")</f>
        <v>1Q21</v>
      </c>
      <c r="AG77" s="27" t="str">
        <f>IFERROR(VLOOKUP(AG76,Dates!$B:$D,3,FALSE),"")</f>
        <v>2Q21</v>
      </c>
      <c r="AH77" s="27" t="str">
        <f>IFERROR(VLOOKUP(AH76,Dates!$B:$D,3,FALSE),"")</f>
        <v>3Q21</v>
      </c>
      <c r="AI77" s="27" t="str">
        <f>IFERROR(VLOOKUP(AI76,Dates!$B:$D,3,FALSE),"")</f>
        <v>4Q21</v>
      </c>
      <c r="AJ77" s="27" t="str">
        <f>IFERROR(VLOOKUP(AJ76,Dates!$B:$D,3,FALSE),"")</f>
        <v>1Q22</v>
      </c>
      <c r="AK77" s="27" t="str">
        <f>IFERROR(VLOOKUP(AK76,Dates!$B:$D,3,FALSE),"")</f>
        <v>2Q22</v>
      </c>
      <c r="AL77" s="27" t="str">
        <f>IFERROR(VLOOKUP(AL76,Dates!$B:$D,3,FALSE),"")</f>
        <v>3Q22</v>
      </c>
      <c r="AM77" s="27" t="str">
        <f>IFERROR(VLOOKUP(AM76,Dates!$B:$D,3,FALSE),"")</f>
        <v>4Q22</v>
      </c>
      <c r="AN77" s="27" t="str">
        <f>IFERROR(VLOOKUP(AN76,Dates!$B:$D,3,FALSE),"")</f>
        <v>1Q23</v>
      </c>
      <c r="AO77" s="27" t="str">
        <f>IFERROR(VLOOKUP(AO76,Dates!$B:$D,3,FALSE),"")</f>
        <v>2Q23</v>
      </c>
      <c r="AP77" s="27" t="str">
        <f>IFERROR(VLOOKUP(AP76,Dates!$B:$D,3,FALSE),"")</f>
        <v>3Q23</v>
      </c>
      <c r="AQ77" s="27" t="str">
        <f>IFERROR(VLOOKUP(AQ76,Dates!$B:$D,3,FALSE),"")</f>
        <v>4Q23</v>
      </c>
      <c r="AR77" s="27" t="str">
        <f>IFERROR(VLOOKUP(AR76,Dates!$B:$D,3,FALSE),"")</f>
        <v>1Q24</v>
      </c>
      <c r="AS77" s="27" t="str">
        <f>IFERROR(VLOOKUP(AS76,Dates!$B:$D,3,FALSE),"")</f>
        <v>2Q24</v>
      </c>
      <c r="AT77" s="27" t="str">
        <f>IFERROR(VLOOKUP(AT76,Dates!$B:$D,3,FALSE),"")</f>
        <v>3Q24</v>
      </c>
      <c r="AU77" s="28" t="str">
        <f>$G$3</f>
        <v>4Q24</v>
      </c>
    </row>
    <row r="78" spans="1:47" x14ac:dyDescent="0.35">
      <c r="A78" s="6"/>
      <c r="B78" s="6"/>
      <c r="C78" s="6"/>
      <c r="D78" s="6"/>
      <c r="E78" s="6"/>
      <c r="F78" s="6"/>
      <c r="G78" s="6"/>
      <c r="H78" s="6"/>
      <c r="I78" s="6"/>
      <c r="J78" s="6"/>
      <c r="K78" s="6"/>
      <c r="L78" s="6"/>
      <c r="M78" s="6"/>
      <c r="N78" s="6"/>
      <c r="O78" s="6"/>
      <c r="P78" s="6"/>
      <c r="Q78" s="6"/>
      <c r="R78" s="6"/>
      <c r="S78" s="6"/>
      <c r="T78" s="6"/>
      <c r="U78" s="6"/>
      <c r="V78" s="6"/>
      <c r="W78" s="6"/>
      <c r="AA78" s="29" t="str">
        <f>'Domestic Mobile Operations'!A74</f>
        <v>Total Prepaid Minutes of Use growth (YoY)</v>
      </c>
      <c r="AB78" s="31">
        <f>IFERROR(INDEX('Domestic Mobile Operations'!$A:$AAZ,MATCH($AA78,'Domestic Mobile Operations'!$A:$A,0),MATCH(AB77,'Domestic Mobile Operations'!$1:$1,0)),"")</f>
        <v>-1.6783216783216703E-2</v>
      </c>
      <c r="AC78" s="31">
        <f>IFERROR(INDEX('Domestic Mobile Operations'!$A:$AAZ,MATCH($AA78,'Domestic Mobile Operations'!$A:$A,0),MATCH(AC77,'Domestic Mobile Operations'!$1:$1,0)),"")</f>
        <v>2.0862681961494545E-2</v>
      </c>
      <c r="AD78" s="31">
        <f>IFERROR(INDEX('Domestic Mobile Operations'!$A:$AAZ,MATCH($AA78,'Domestic Mobile Operations'!$A:$A,0),MATCH(AD77,'Domestic Mobile Operations'!$1:$1,0)),"")</f>
        <v>3.5513267220583788E-3</v>
      </c>
      <c r="AE78" s="31">
        <f>IFERROR(INDEX('Domestic Mobile Operations'!$A:$AAZ,MATCH($AA78,'Domestic Mobile Operations'!$A:$A,0),MATCH(AE77,'Domestic Mobile Operations'!$1:$1,0)),"")</f>
        <v>-3.3432191965489411E-2</v>
      </c>
      <c r="AF78" s="31">
        <f>IFERROR(INDEX('Domestic Mobile Operations'!$A:$AAZ,MATCH($AA78,'Domestic Mobile Operations'!$A:$A,0),MATCH(AF77,'Domestic Mobile Operations'!$1:$1,0)),"")</f>
        <v>-1.3886066517645457E-2</v>
      </c>
      <c r="AG78" s="31">
        <f>IFERROR(INDEX('Domestic Mobile Operations'!$A:$AAZ,MATCH($AA78,'Domestic Mobile Operations'!$A:$A,0),MATCH(AG77,'Domestic Mobile Operations'!$1:$1,0)),"")</f>
        <v>-3.2395847023261815E-2</v>
      </c>
      <c r="AH78" s="31">
        <f>IFERROR(INDEX('Domestic Mobile Operations'!$A:$AAZ,MATCH($AA78,'Domestic Mobile Operations'!$A:$A,0),MATCH(AH77,'Domestic Mobile Operations'!$1:$1,0)),"")</f>
        <v>-1.8895639981304724E-2</v>
      </c>
      <c r="AI78" s="31">
        <f>IFERROR(INDEX('Domestic Mobile Operations'!$A:$AAZ,MATCH($AA78,'Domestic Mobile Operations'!$A:$A,0),MATCH(AI77,'Domestic Mobile Operations'!$1:$1,0)),"")</f>
        <v>2.4616457461645647E-2</v>
      </c>
      <c r="AJ78" s="31">
        <f>IFERROR(INDEX('Domestic Mobile Operations'!$A:$AAZ,MATCH($AA78,'Domestic Mobile Operations'!$A:$A,0),MATCH(AJ77,'Domestic Mobile Operations'!$1:$1,0)),"")</f>
        <v>-7.3499107020196242E-3</v>
      </c>
      <c r="AK78" s="31">
        <f>IFERROR(INDEX('Domestic Mobile Operations'!$A:$AAZ,MATCH($AA78,'Domestic Mobile Operations'!$A:$A,0),MATCH(AK77,'Domestic Mobile Operations'!$1:$1,0)),"")</f>
        <v>-3.2869269949066138E-2</v>
      </c>
      <c r="AL78" s="31">
        <f>IFERROR(INDEX('Domestic Mobile Operations'!$A:$AAZ,MATCH($AA78,'Domestic Mobile Operations'!$A:$A,0),MATCH(AL77,'Domestic Mobile Operations'!$1:$1,0)),"")</f>
        <v>-2.4295630869742846E-2</v>
      </c>
      <c r="AM78" s="31">
        <f>IFERROR(INDEX('Domestic Mobile Operations'!$A:$AAZ,MATCH($AA78,'Domestic Mobile Operations'!$A:$A,0),MATCH(AM77,'Domestic Mobile Operations'!$1:$1,0)),"")</f>
        <v>-2.4365344041380133E-2</v>
      </c>
      <c r="AN78" s="31">
        <f>IFERROR(INDEX('Domestic Mobile Operations'!$A:$AAZ,MATCH($AA78,'Domestic Mobile Operations'!$A:$A,0),MATCH(AN77,'Domestic Mobile Operations'!$1:$1,0)),"")</f>
        <v>-1.231748667912258E-2</v>
      </c>
      <c r="AO78" s="31">
        <f>IFERROR(INDEX('Domestic Mobile Operations'!$A:$AAZ,MATCH($AA78,'Domestic Mobile Operations'!$A:$A,0),MATCH(AO77,'Domestic Mobile Operations'!$1:$1,0)),"")</f>
        <v>-5.828242398707939E-3</v>
      </c>
      <c r="AP78" s="31">
        <f>IFERROR(INDEX('Domestic Mobile Operations'!$A:$AAZ,MATCH($AA78,'Domestic Mobile Operations'!$A:$A,0),MATCH(AP77,'Domestic Mobile Operations'!$1:$1,0)),"")</f>
        <v>-8.3699518727766709E-3</v>
      </c>
      <c r="AQ78" s="31">
        <f>IFERROR(INDEX('Domestic Mobile Operations'!$A:$AAZ,MATCH($AA78,'Domestic Mobile Operations'!$A:$A,0),MATCH(AQ77,'Domestic Mobile Operations'!$1:$1,0)),"")</f>
        <v>3.062434600627828E-2</v>
      </c>
      <c r="AR78" s="31">
        <f>IFERROR(INDEX('Domestic Mobile Operations'!$A:$AAZ,MATCH($AA78,'Domestic Mobile Operations'!$A:$A,0),MATCH(AR77,'Domestic Mobile Operations'!$1:$1,0)),"")</f>
        <v>4.9954459468927404E-2</v>
      </c>
      <c r="AS78" s="31">
        <f>IFERROR(INDEX('Domestic Mobile Operations'!$A:$AAZ,MATCH($AA78,'Domestic Mobile Operations'!$A:$A,0),MATCH(AS77,'Domestic Mobile Operations'!$1:$1,0)),"")</f>
        <v>5.1984743607854211E-2</v>
      </c>
      <c r="AT78" s="31">
        <f>IFERROR(INDEX('Domestic Mobile Operations'!$A:$AAZ,MATCH($AA78,'Domestic Mobile Operations'!$A:$A,0),MATCH(AT77,'Domestic Mobile Operations'!$1:$1,0)),"")</f>
        <v>5.4441865372441445E-2</v>
      </c>
      <c r="AU78" s="31">
        <f>IFERROR(INDEX('Domestic Mobile Operations'!$A:$AAZ,MATCH($AA78,'Domestic Mobile Operations'!$A:$A,0),MATCH(AU77,'Domestic Mobile Operations'!$1:$1,0)),"")</f>
        <v>1.0694463246243346E-2</v>
      </c>
    </row>
    <row r="79" spans="1:47" x14ac:dyDescent="0.35">
      <c r="A79" s="6"/>
      <c r="B79" s="6"/>
      <c r="C79" s="6"/>
      <c r="D79" s="6"/>
      <c r="E79" s="6"/>
      <c r="F79" s="6"/>
      <c r="G79" s="6"/>
      <c r="H79" s="6"/>
      <c r="I79" s="6"/>
      <c r="J79" s="6"/>
      <c r="K79" s="6"/>
      <c r="L79" s="6"/>
      <c r="M79" s="6"/>
      <c r="N79" s="6"/>
      <c r="O79" s="6"/>
      <c r="P79" s="6"/>
      <c r="Q79" s="6"/>
      <c r="R79" s="6"/>
      <c r="S79" s="6"/>
      <c r="T79" s="6"/>
      <c r="U79" s="6"/>
      <c r="V79" s="6"/>
      <c r="W79" s="6"/>
      <c r="AB79" s="31"/>
      <c r="AC79" s="31"/>
      <c r="AD79" s="31"/>
      <c r="AE79" s="31"/>
      <c r="AF79" s="31"/>
      <c r="AG79" s="31"/>
      <c r="AH79" s="31"/>
      <c r="AI79" s="31"/>
      <c r="AJ79" s="31"/>
      <c r="AK79" s="31"/>
      <c r="AL79" s="31"/>
      <c r="AM79" s="31"/>
      <c r="AN79" s="31"/>
      <c r="AO79" s="31"/>
      <c r="AP79" s="31"/>
      <c r="AQ79" s="31"/>
      <c r="AR79" s="31"/>
      <c r="AS79" s="31"/>
      <c r="AT79" s="31"/>
      <c r="AU79" s="31"/>
    </row>
    <row r="80" spans="1:47" x14ac:dyDescent="0.35">
      <c r="A80" s="6"/>
      <c r="B80" s="6"/>
      <c r="C80" s="6"/>
      <c r="D80" s="6"/>
      <c r="E80" s="6"/>
      <c r="F80" s="6"/>
      <c r="G80" s="6"/>
      <c r="H80" s="6"/>
      <c r="I80" s="6"/>
      <c r="J80" s="6"/>
      <c r="K80" s="6"/>
      <c r="L80" s="6"/>
      <c r="M80" s="6"/>
      <c r="N80" s="6"/>
      <c r="O80" s="6"/>
      <c r="P80" s="6"/>
      <c r="Q80" s="6"/>
      <c r="R80" s="6"/>
      <c r="S80" s="6"/>
      <c r="T80" s="6"/>
      <c r="U80" s="6"/>
      <c r="V80" s="6"/>
      <c r="W80" s="6"/>
    </row>
    <row r="81" spans="1:47" x14ac:dyDescent="0.35">
      <c r="A81" s="6"/>
      <c r="B81" s="6"/>
      <c r="C81" s="6"/>
      <c r="D81" s="6"/>
      <c r="E81" s="6"/>
      <c r="F81" s="6"/>
      <c r="G81" s="6"/>
      <c r="H81" s="6"/>
      <c r="I81" s="6"/>
      <c r="J81" s="6"/>
      <c r="K81" s="6"/>
      <c r="L81" s="6"/>
      <c r="M81" s="6"/>
      <c r="N81" s="6"/>
      <c r="O81" s="6"/>
      <c r="P81" s="6"/>
      <c r="Q81" s="6"/>
      <c r="R81" s="6"/>
      <c r="S81" s="6"/>
      <c r="T81" s="6"/>
      <c r="U81" s="6"/>
      <c r="V81" s="6"/>
      <c r="W81" s="6"/>
    </row>
    <row r="82" spans="1:47" x14ac:dyDescent="0.35">
      <c r="A82" s="6"/>
      <c r="B82" s="6"/>
      <c r="C82" s="6"/>
      <c r="D82" s="6"/>
      <c r="E82" s="6"/>
      <c r="F82" s="6"/>
      <c r="G82" s="6"/>
      <c r="H82" s="6"/>
      <c r="I82" s="6"/>
      <c r="J82" s="6"/>
      <c r="K82" s="6"/>
      <c r="L82" s="6"/>
      <c r="M82" s="6"/>
      <c r="N82" s="6"/>
      <c r="O82" s="6"/>
      <c r="P82" s="6"/>
      <c r="Q82" s="6"/>
      <c r="R82" s="6"/>
      <c r="S82" s="6"/>
      <c r="T82" s="6"/>
      <c r="U82" s="6"/>
      <c r="V82" s="6"/>
      <c r="W82" s="6"/>
    </row>
    <row r="83" spans="1:47" x14ac:dyDescent="0.35">
      <c r="A83" s="6"/>
      <c r="B83" s="6"/>
      <c r="C83" s="6"/>
      <c r="D83" s="6"/>
      <c r="E83" s="6"/>
      <c r="F83" s="6"/>
      <c r="G83" s="6"/>
      <c r="H83" s="6"/>
      <c r="I83" s="6"/>
      <c r="J83" s="6"/>
      <c r="K83" s="6"/>
      <c r="L83" s="6"/>
      <c r="M83" s="6"/>
      <c r="N83" s="6"/>
      <c r="O83" s="6"/>
      <c r="P83" s="6"/>
      <c r="Q83" s="6"/>
      <c r="R83" s="6"/>
      <c r="S83" s="6"/>
      <c r="T83" s="6"/>
      <c r="U83" s="6"/>
      <c r="V83" s="6"/>
      <c r="W83" s="6"/>
    </row>
    <row r="84" spans="1:47" x14ac:dyDescent="0.35">
      <c r="A84" s="6"/>
      <c r="B84" s="6"/>
      <c r="C84" s="6"/>
      <c r="D84" s="6"/>
      <c r="E84" s="6"/>
      <c r="F84" s="6"/>
      <c r="G84" s="6"/>
      <c r="H84" s="6"/>
      <c r="I84" s="6"/>
      <c r="J84" s="6"/>
      <c r="K84" s="6"/>
      <c r="L84" s="6"/>
      <c r="M84" s="6"/>
      <c r="N84" s="6"/>
      <c r="O84" s="6"/>
      <c r="P84" s="6"/>
      <c r="Q84" s="6"/>
      <c r="R84" s="6"/>
      <c r="S84" s="6"/>
      <c r="T84" s="6"/>
      <c r="U84" s="6"/>
      <c r="V84" s="6"/>
      <c r="W84" s="6"/>
    </row>
    <row r="85" spans="1:47" x14ac:dyDescent="0.35">
      <c r="A85" s="1" t="s">
        <v>29</v>
      </c>
      <c r="B85" s="1" t="s">
        <v>52</v>
      </c>
      <c r="C85" s="1"/>
      <c r="D85" s="1"/>
      <c r="E85" s="1"/>
      <c r="F85" s="1"/>
      <c r="G85" s="1"/>
      <c r="H85" s="1"/>
      <c r="I85" s="1"/>
      <c r="J85" s="1"/>
      <c r="K85" s="1" t="s">
        <v>30</v>
      </c>
      <c r="L85" s="1" t="s">
        <v>53</v>
      </c>
      <c r="M85" s="1"/>
      <c r="N85" s="1"/>
      <c r="O85" s="1"/>
      <c r="P85" s="1"/>
      <c r="Q85" s="1"/>
      <c r="R85" s="1"/>
      <c r="S85" s="1"/>
      <c r="T85" s="1"/>
      <c r="U85" s="6"/>
      <c r="V85" s="6"/>
      <c r="W85" s="6"/>
    </row>
    <row r="86" spans="1:47" x14ac:dyDescent="0.35">
      <c r="A86" s="6"/>
      <c r="B86" s="6"/>
      <c r="C86" s="6"/>
      <c r="D86" s="6"/>
      <c r="E86" s="6"/>
      <c r="F86" s="6"/>
      <c r="G86" s="6"/>
      <c r="H86" s="6"/>
      <c r="I86" s="6"/>
      <c r="J86" s="6"/>
      <c r="K86" s="6"/>
      <c r="L86" s="6"/>
      <c r="M86" s="6"/>
      <c r="N86" s="6"/>
      <c r="O86" s="6"/>
      <c r="P86" s="6"/>
      <c r="Q86" s="6"/>
      <c r="R86" s="6"/>
      <c r="S86" s="6"/>
      <c r="T86" s="6"/>
      <c r="U86" s="6"/>
      <c r="V86" s="6"/>
      <c r="W86" s="6"/>
    </row>
    <row r="87" spans="1:47" x14ac:dyDescent="0.35">
      <c r="A87" s="6"/>
      <c r="B87" s="6"/>
      <c r="C87" s="6"/>
      <c r="D87" s="6"/>
      <c r="E87" s="6"/>
      <c r="F87" s="6"/>
      <c r="G87" s="6"/>
      <c r="H87" s="6"/>
      <c r="I87" s="6"/>
      <c r="J87" s="6"/>
      <c r="K87" s="6"/>
      <c r="L87" s="6"/>
      <c r="M87" s="6"/>
      <c r="N87" s="6"/>
      <c r="O87" s="6"/>
      <c r="P87" s="6"/>
      <c r="Q87" s="6"/>
      <c r="R87" s="6"/>
      <c r="S87" s="6"/>
      <c r="T87" s="6"/>
      <c r="U87" s="6"/>
      <c r="V87" s="6"/>
      <c r="W87" s="6"/>
    </row>
    <row r="88" spans="1:47" x14ac:dyDescent="0.35">
      <c r="A88" s="6"/>
      <c r="B88" s="6"/>
      <c r="C88" s="6"/>
      <c r="D88" s="6"/>
      <c r="E88" s="6"/>
      <c r="F88" s="6"/>
      <c r="G88" s="6"/>
      <c r="H88" s="6"/>
      <c r="I88" s="6"/>
      <c r="J88" s="6"/>
      <c r="K88" s="6"/>
      <c r="L88" s="6"/>
      <c r="M88" s="6"/>
      <c r="N88" s="6"/>
      <c r="O88" s="6"/>
      <c r="P88" s="6"/>
      <c r="Q88" s="6"/>
      <c r="R88" s="6"/>
      <c r="S88" s="6"/>
      <c r="T88" s="6"/>
      <c r="U88" s="6"/>
      <c r="V88" s="6"/>
      <c r="W88" s="6"/>
      <c r="AB88" s="27">
        <f t="shared" ref="AB88" si="127">AC88-1</f>
        <v>33</v>
      </c>
      <c r="AC88" s="27">
        <f t="shared" ref="AC88" si="128">AD88-1</f>
        <v>34</v>
      </c>
      <c r="AD88" s="27">
        <f t="shared" ref="AD88" si="129">AE88-1</f>
        <v>35</v>
      </c>
      <c r="AE88" s="27">
        <f t="shared" ref="AE88" si="130">AF88-1</f>
        <v>36</v>
      </c>
      <c r="AF88" s="27">
        <f t="shared" ref="AF88" si="131">AG88-1</f>
        <v>37</v>
      </c>
      <c r="AG88" s="27">
        <f t="shared" ref="AG88" si="132">AH88-1</f>
        <v>38</v>
      </c>
      <c r="AH88" s="27">
        <f t="shared" ref="AH88" si="133">AI88-1</f>
        <v>39</v>
      </c>
      <c r="AI88" s="27">
        <f t="shared" ref="AI88" si="134">AJ88-1</f>
        <v>40</v>
      </c>
      <c r="AJ88" s="27">
        <f t="shared" ref="AJ88" si="135">AK88-1</f>
        <v>41</v>
      </c>
      <c r="AK88" s="27">
        <f t="shared" ref="AK88" si="136">AL88-1</f>
        <v>42</v>
      </c>
      <c r="AL88" s="27">
        <f t="shared" ref="AL88" si="137">AM88-1</f>
        <v>43</v>
      </c>
      <c r="AM88" s="27">
        <f t="shared" ref="AM88" si="138">AN88-1</f>
        <v>44</v>
      </c>
      <c r="AN88" s="27">
        <f t="shared" ref="AN88" si="139">AO88-1</f>
        <v>45</v>
      </c>
      <c r="AO88" s="27">
        <f t="shared" ref="AO88" si="140">AP88-1</f>
        <v>46</v>
      </c>
      <c r="AP88" s="27">
        <f t="shared" ref="AP88" si="141">AQ88-1</f>
        <v>47</v>
      </c>
      <c r="AQ88" s="27">
        <f t="shared" ref="AQ88" si="142">AR88-1</f>
        <v>48</v>
      </c>
      <c r="AR88" s="27">
        <f t="shared" ref="AR88" si="143">AS88-1</f>
        <v>49</v>
      </c>
      <c r="AS88" s="27">
        <f t="shared" ref="AS88" si="144">AT88-1</f>
        <v>50</v>
      </c>
      <c r="AT88" s="27">
        <f>AU88-1</f>
        <v>51</v>
      </c>
      <c r="AU88" s="27">
        <f>VLOOKUP(AU89,Dates!$A:$D,2,FALSE)</f>
        <v>52</v>
      </c>
    </row>
    <row r="89" spans="1:47" x14ac:dyDescent="0.35">
      <c r="A89" s="6"/>
      <c r="B89" s="6"/>
      <c r="C89" s="6"/>
      <c r="D89" s="6"/>
      <c r="E89" s="6"/>
      <c r="F89" s="6"/>
      <c r="G89" s="6"/>
      <c r="H89" s="6"/>
      <c r="I89" s="6"/>
      <c r="J89" s="6"/>
      <c r="K89" s="6"/>
      <c r="L89" s="6"/>
      <c r="M89" s="6"/>
      <c r="N89" s="6"/>
      <c r="O89" s="6"/>
      <c r="P89" s="6"/>
      <c r="Q89" s="6"/>
      <c r="R89" s="6"/>
      <c r="S89" s="6"/>
      <c r="T89" s="6"/>
      <c r="U89" s="6"/>
      <c r="V89" s="6"/>
      <c r="W89" s="6"/>
      <c r="AB89" s="27" t="str">
        <f>IFERROR(VLOOKUP(AB88,Dates!$B:$D,3,FALSE),"")</f>
        <v>1Q20</v>
      </c>
      <c r="AC89" s="27" t="str">
        <f>IFERROR(VLOOKUP(AC88,Dates!$B:$D,3,FALSE),"")</f>
        <v>2Q20</v>
      </c>
      <c r="AD89" s="27" t="str">
        <f>IFERROR(VLOOKUP(AD88,Dates!$B:$D,3,FALSE),"")</f>
        <v>3Q20</v>
      </c>
      <c r="AE89" s="27" t="str">
        <f>IFERROR(VLOOKUP(AE88,Dates!$B:$D,3,FALSE),"")</f>
        <v>4Q20</v>
      </c>
      <c r="AF89" s="27" t="str">
        <f>IFERROR(VLOOKUP(AF88,Dates!$B:$D,3,FALSE),"")</f>
        <v>1Q21</v>
      </c>
      <c r="AG89" s="27" t="str">
        <f>IFERROR(VLOOKUP(AG88,Dates!$B:$D,3,FALSE),"")</f>
        <v>2Q21</v>
      </c>
      <c r="AH89" s="27" t="str">
        <f>IFERROR(VLOOKUP(AH88,Dates!$B:$D,3,FALSE),"")</f>
        <v>3Q21</v>
      </c>
      <c r="AI89" s="27" t="str">
        <f>IFERROR(VLOOKUP(AI88,Dates!$B:$D,3,FALSE),"")</f>
        <v>4Q21</v>
      </c>
      <c r="AJ89" s="27" t="str">
        <f>IFERROR(VLOOKUP(AJ88,Dates!$B:$D,3,FALSE),"")</f>
        <v>1Q22</v>
      </c>
      <c r="AK89" s="27" t="str">
        <f>IFERROR(VLOOKUP(AK88,Dates!$B:$D,3,FALSE),"")</f>
        <v>2Q22</v>
      </c>
      <c r="AL89" s="27" t="str">
        <f>IFERROR(VLOOKUP(AL88,Dates!$B:$D,3,FALSE),"")</f>
        <v>3Q22</v>
      </c>
      <c r="AM89" s="27" t="str">
        <f>IFERROR(VLOOKUP(AM88,Dates!$B:$D,3,FALSE),"")</f>
        <v>4Q22</v>
      </c>
      <c r="AN89" s="27" t="str">
        <f>IFERROR(VLOOKUP(AN88,Dates!$B:$D,3,FALSE),"")</f>
        <v>1Q23</v>
      </c>
      <c r="AO89" s="27" t="str">
        <f>IFERROR(VLOOKUP(AO88,Dates!$B:$D,3,FALSE),"")</f>
        <v>2Q23</v>
      </c>
      <c r="AP89" s="27" t="str">
        <f>IFERROR(VLOOKUP(AP88,Dates!$B:$D,3,FALSE),"")</f>
        <v>3Q23</v>
      </c>
      <c r="AQ89" s="27" t="str">
        <f>IFERROR(VLOOKUP(AQ88,Dates!$B:$D,3,FALSE),"")</f>
        <v>4Q23</v>
      </c>
      <c r="AR89" s="27" t="str">
        <f>IFERROR(VLOOKUP(AR88,Dates!$B:$D,3,FALSE),"")</f>
        <v>1Q24</v>
      </c>
      <c r="AS89" s="27" t="str">
        <f>IFERROR(VLOOKUP(AS88,Dates!$B:$D,3,FALSE),"")</f>
        <v>2Q24</v>
      </c>
      <c r="AT89" s="27" t="str">
        <f>IFERROR(VLOOKUP(AT88,Dates!$B:$D,3,FALSE),"")</f>
        <v>3Q24</v>
      </c>
      <c r="AU89" s="28" t="str">
        <f>$G$3</f>
        <v>4Q24</v>
      </c>
    </row>
    <row r="90" spans="1:47" x14ac:dyDescent="0.35">
      <c r="A90" s="6"/>
      <c r="B90" s="6"/>
      <c r="C90" s="6"/>
      <c r="D90" s="6"/>
      <c r="E90" s="6"/>
      <c r="F90" s="6"/>
      <c r="G90" s="6"/>
      <c r="H90" s="6"/>
      <c r="I90" s="6"/>
      <c r="J90" s="6"/>
      <c r="K90" s="6"/>
      <c r="L90" s="6"/>
      <c r="M90" s="6"/>
      <c r="N90" s="6"/>
      <c r="O90" s="6"/>
      <c r="P90" s="6"/>
      <c r="Q90" s="6"/>
      <c r="R90" s="6"/>
      <c r="S90" s="6"/>
      <c r="T90" s="6"/>
      <c r="U90" s="6"/>
      <c r="V90" s="6"/>
      <c r="W90" s="6"/>
      <c r="AA90" s="29" t="str">
        <f>'Domestic Mobile Operations'!A5</f>
        <v>Mobile subscribers (incl. M2M, market definition)</v>
      </c>
      <c r="AB90" s="30">
        <f>IFERROR(INDEX('Domestic Mobile Operations'!$A:$AAZ,MATCH($AA90,'Domestic Mobile Operations'!$A:$A,0),MATCH(AB89,'Domestic Mobile Operations'!$1:$1,0)),"")</f>
        <v>11320</v>
      </c>
      <c r="AC90" s="30">
        <f>IFERROR(INDEX('Domestic Mobile Operations'!$A:$AAZ,MATCH($AA90,'Domestic Mobile Operations'!$A:$A,0),MATCH(AC89,'Domestic Mobile Operations'!$1:$1,0)),"")</f>
        <v>11734</v>
      </c>
      <c r="AD90" s="30">
        <f>IFERROR(INDEX('Domestic Mobile Operations'!$A:$AAZ,MATCH($AA90,'Domestic Mobile Operations'!$A:$A,0),MATCH(AD89,'Domestic Mobile Operations'!$1:$1,0)),"")</f>
        <v>11116</v>
      </c>
      <c r="AE90" s="30">
        <f>IFERROR(INDEX('Domestic Mobile Operations'!$A:$AAZ,MATCH($AA90,'Domestic Mobile Operations'!$A:$A,0),MATCH(AE89,'Domestic Mobile Operations'!$1:$1,0)),"")</f>
        <v>11261</v>
      </c>
      <c r="AF90" s="30">
        <f>IFERROR(INDEX('Domestic Mobile Operations'!$A:$AAZ,MATCH($AA90,'Domestic Mobile Operations'!$A:$A,0),MATCH(AF89,'Domestic Mobile Operations'!$1:$1,0)),"")</f>
        <v>11516</v>
      </c>
      <c r="AG90" s="30">
        <f>IFERROR(INDEX('Domestic Mobile Operations'!$A:$AAZ,MATCH($AA90,'Domestic Mobile Operations'!$A:$A,0),MATCH(AG89,'Domestic Mobile Operations'!$1:$1,0)),"")</f>
        <v>11671</v>
      </c>
      <c r="AH90" s="30">
        <f>IFERROR(INDEX('Domestic Mobile Operations'!$A:$AAZ,MATCH($AA90,'Domestic Mobile Operations'!$A:$A,0),MATCH(AH89,'Domestic Mobile Operations'!$1:$1,0)),"")</f>
        <v>11651</v>
      </c>
      <c r="AI90" s="30">
        <f>IFERROR(INDEX('Domestic Mobile Operations'!$A:$AAZ,MATCH($AA90,'Domestic Mobile Operations'!$A:$A,0),MATCH(AI89,'Domestic Mobile Operations'!$1:$1,0)),"")</f>
        <v>11842</v>
      </c>
      <c r="AJ90" s="30">
        <f>IFERROR(INDEX('Domestic Mobile Operations'!$A:$AAZ,MATCH($AA90,'Domestic Mobile Operations'!$A:$A,0),MATCH(AJ89,'Domestic Mobile Operations'!$1:$1,0)),"")</f>
        <v>11640</v>
      </c>
      <c r="AK90" s="30">
        <f>IFERROR(INDEX('Domestic Mobile Operations'!$A:$AAZ,MATCH($AA90,'Domestic Mobile Operations'!$A:$A,0),MATCH(AK89,'Domestic Mobile Operations'!$1:$1,0)),"")</f>
        <v>11767</v>
      </c>
      <c r="AL90" s="30">
        <f>IFERROR(INDEX('Domestic Mobile Operations'!$A:$AAZ,MATCH($AA90,'Domestic Mobile Operations'!$A:$A,0),MATCH(AL89,'Domestic Mobile Operations'!$1:$1,0)),"")</f>
        <v>11877</v>
      </c>
      <c r="AM90" s="30">
        <f>IFERROR(INDEX('Domestic Mobile Operations'!$A:$AAZ,MATCH($AA90,'Domestic Mobile Operations'!$A:$A,0),MATCH(AM89,'Domestic Mobile Operations'!$1:$1,0)),"")</f>
        <v>11879</v>
      </c>
      <c r="AN90" s="30">
        <f>IFERROR(INDEX('Domestic Mobile Operations'!$A:$AAZ,MATCH($AA90,'Domestic Mobile Operations'!$A:$A,0),MATCH(AN89,'Domestic Mobile Operations'!$1:$1,0)),"")</f>
        <v>11920</v>
      </c>
      <c r="AO90" s="30">
        <f>IFERROR(INDEX('Domestic Mobile Operations'!$A:$AAZ,MATCH($AA90,'Domestic Mobile Operations'!$A:$A,0),MATCH(AO89,'Domestic Mobile Operations'!$1:$1,0)),"")</f>
        <v>11879</v>
      </c>
      <c r="AP90" s="30">
        <f>IFERROR(INDEX('Domestic Mobile Operations'!$A:$AAZ,MATCH($AA90,'Domestic Mobile Operations'!$A:$A,0),MATCH(AP89,'Domestic Mobile Operations'!$1:$1,0)),"")</f>
        <v>12135</v>
      </c>
      <c r="AQ90" s="30">
        <f>IFERROR(INDEX('Domestic Mobile Operations'!$A:$AAZ,MATCH($AA90,'Domestic Mobile Operations'!$A:$A,0),MATCH(AQ89,'Domestic Mobile Operations'!$1:$1,0)),"")</f>
        <v>12636</v>
      </c>
      <c r="AR90" s="30">
        <f>IFERROR(INDEX('Domestic Mobile Operations'!$A:$AAZ,MATCH($AA90,'Domestic Mobile Operations'!$A:$A,0),MATCH(AR89,'Domestic Mobile Operations'!$1:$1,0)),"")</f>
        <v>12558</v>
      </c>
      <c r="AS90" s="30">
        <f>IFERROR(INDEX('Domestic Mobile Operations'!$A:$AAZ,MATCH($AA90,'Domestic Mobile Operations'!$A:$A,0),MATCH(AS89,'Domestic Mobile Operations'!$1:$1,0)),"")</f>
        <v>12753</v>
      </c>
      <c r="AT90" s="30">
        <f>IFERROR(INDEX('Domestic Mobile Operations'!$A:$AAZ,MATCH($AA90,'Domestic Mobile Operations'!$A:$A,0),MATCH(AT89,'Domestic Mobile Operations'!$1:$1,0)),"")</f>
        <v>12862</v>
      </c>
      <c r="AU90" s="30">
        <f>IFERROR(INDEX('Domestic Mobile Operations'!$A:$AAZ,MATCH($AA90,'Domestic Mobile Operations'!$A:$A,0),MATCH(AU89,'Domestic Mobile Operations'!$1:$1,0)),"")</f>
        <v>12947</v>
      </c>
    </row>
    <row r="91" spans="1:47" x14ac:dyDescent="0.35">
      <c r="A91" s="6"/>
      <c r="B91" s="6"/>
      <c r="C91" s="6"/>
      <c r="D91" s="6"/>
      <c r="E91" s="6"/>
      <c r="F91" s="6"/>
      <c r="G91" s="6"/>
      <c r="H91" s="6"/>
      <c r="I91" s="6"/>
      <c r="J91" s="6"/>
      <c r="K91" s="6"/>
      <c r="L91" s="6"/>
      <c r="M91" s="6"/>
      <c r="N91" s="6"/>
      <c r="O91" s="6"/>
      <c r="P91" s="6"/>
      <c r="Q91" s="6"/>
      <c r="R91" s="6"/>
      <c r="S91" s="6"/>
      <c r="T91" s="6"/>
      <c r="U91" s="6"/>
      <c r="V91" s="6"/>
      <c r="W91" s="6"/>
    </row>
    <row r="92" spans="1:47" x14ac:dyDescent="0.35">
      <c r="A92" s="6"/>
      <c r="B92" s="6"/>
      <c r="C92" s="6"/>
      <c r="D92" s="6"/>
      <c r="E92" s="6"/>
      <c r="F92" s="6"/>
      <c r="G92" s="6"/>
      <c r="H92" s="6"/>
      <c r="I92" s="6"/>
      <c r="J92" s="6"/>
      <c r="K92" s="6"/>
      <c r="L92" s="6"/>
      <c r="M92" s="6"/>
      <c r="N92" s="6"/>
      <c r="O92" s="6"/>
      <c r="P92" s="6"/>
      <c r="Q92" s="6"/>
      <c r="R92" s="6"/>
      <c r="S92" s="6"/>
      <c r="T92" s="6"/>
      <c r="U92" s="6"/>
      <c r="V92" s="6"/>
      <c r="W92" s="6"/>
    </row>
    <row r="93" spans="1:47" x14ac:dyDescent="0.35">
      <c r="A93" s="6"/>
      <c r="B93" s="6"/>
      <c r="C93" s="6"/>
      <c r="D93" s="6"/>
      <c r="E93" s="6"/>
      <c r="F93" s="6"/>
      <c r="G93" s="6"/>
      <c r="H93" s="6"/>
      <c r="I93" s="6"/>
      <c r="J93" s="6"/>
      <c r="K93" s="6"/>
      <c r="L93" s="6"/>
      <c r="M93" s="6"/>
      <c r="N93" s="6"/>
      <c r="O93" s="6"/>
      <c r="P93" s="6"/>
      <c r="Q93" s="6"/>
      <c r="R93" s="6"/>
      <c r="S93" s="6"/>
      <c r="T93" s="6"/>
      <c r="U93" s="6"/>
      <c r="V93" s="6"/>
      <c r="W93" s="6"/>
    </row>
    <row r="94" spans="1:47" x14ac:dyDescent="0.35">
      <c r="A94" s="6"/>
      <c r="B94" s="6"/>
      <c r="C94" s="6"/>
      <c r="D94" s="6"/>
      <c r="E94" s="6"/>
      <c r="F94" s="6"/>
      <c r="G94" s="6"/>
      <c r="H94" s="6"/>
      <c r="I94" s="6"/>
      <c r="J94" s="6"/>
      <c r="K94" s="6"/>
      <c r="L94" s="6"/>
      <c r="M94" s="6"/>
      <c r="N94" s="6"/>
      <c r="O94" s="6"/>
      <c r="P94" s="6"/>
      <c r="Q94" s="6"/>
      <c r="R94" s="6"/>
      <c r="S94" s="6"/>
      <c r="T94" s="6"/>
      <c r="U94" s="6"/>
      <c r="V94" s="6"/>
      <c r="W94" s="6"/>
    </row>
    <row r="95" spans="1:47" x14ac:dyDescent="0.35">
      <c r="A95" s="6"/>
      <c r="B95" s="6"/>
      <c r="C95" s="6"/>
      <c r="D95" s="6"/>
      <c r="E95" s="6"/>
      <c r="F95" s="6"/>
      <c r="G95" s="6"/>
      <c r="H95" s="6"/>
      <c r="I95" s="6"/>
      <c r="J95" s="6"/>
      <c r="K95" s="6"/>
      <c r="L95" s="6"/>
      <c r="M95" s="6"/>
      <c r="N95" s="6"/>
      <c r="O95" s="6"/>
      <c r="P95" s="6"/>
      <c r="Q95" s="6"/>
      <c r="R95" s="6"/>
      <c r="S95" s="6"/>
      <c r="T95" s="6"/>
      <c r="U95" s="6"/>
      <c r="V95" s="6"/>
      <c r="W95" s="6"/>
      <c r="AB95" s="27">
        <f t="shared" ref="AB95" si="145">AC95-1</f>
        <v>33</v>
      </c>
      <c r="AC95" s="27">
        <f t="shared" ref="AC95" si="146">AD95-1</f>
        <v>34</v>
      </c>
      <c r="AD95" s="27">
        <f t="shared" ref="AD95" si="147">AE95-1</f>
        <v>35</v>
      </c>
      <c r="AE95" s="27">
        <f t="shared" ref="AE95" si="148">AF95-1</f>
        <v>36</v>
      </c>
      <c r="AF95" s="27">
        <f t="shared" ref="AF95" si="149">AG95-1</f>
        <v>37</v>
      </c>
      <c r="AG95" s="27">
        <f t="shared" ref="AG95" si="150">AH95-1</f>
        <v>38</v>
      </c>
      <c r="AH95" s="27">
        <f t="shared" ref="AH95" si="151">AI95-1</f>
        <v>39</v>
      </c>
      <c r="AI95" s="27">
        <f t="shared" ref="AI95" si="152">AJ95-1</f>
        <v>40</v>
      </c>
      <c r="AJ95" s="27">
        <f t="shared" ref="AJ95" si="153">AK95-1</f>
        <v>41</v>
      </c>
      <c r="AK95" s="27">
        <f t="shared" ref="AK95" si="154">AL95-1</f>
        <v>42</v>
      </c>
      <c r="AL95" s="27">
        <f t="shared" ref="AL95" si="155">AM95-1</f>
        <v>43</v>
      </c>
      <c r="AM95" s="27">
        <f t="shared" ref="AM95" si="156">AN95-1</f>
        <v>44</v>
      </c>
      <c r="AN95" s="27">
        <f t="shared" ref="AN95" si="157">AO95-1</f>
        <v>45</v>
      </c>
      <c r="AO95" s="27">
        <f t="shared" ref="AO95" si="158">AP95-1</f>
        <v>46</v>
      </c>
      <c r="AP95" s="27">
        <f t="shared" ref="AP95" si="159">AQ95-1</f>
        <v>47</v>
      </c>
      <c r="AQ95" s="27">
        <f t="shared" ref="AQ95" si="160">AR95-1</f>
        <v>48</v>
      </c>
      <c r="AR95" s="27">
        <f t="shared" ref="AR95" si="161">AS95-1</f>
        <v>49</v>
      </c>
      <c r="AS95" s="27">
        <f t="shared" ref="AS95" si="162">AT95-1</f>
        <v>50</v>
      </c>
      <c r="AT95" s="27">
        <f>AU95-1</f>
        <v>51</v>
      </c>
      <c r="AU95" s="27">
        <f>VLOOKUP(AU96,Dates!$A:$D,2,FALSE)</f>
        <v>52</v>
      </c>
    </row>
    <row r="96" spans="1:47" x14ac:dyDescent="0.35">
      <c r="A96" s="6"/>
      <c r="B96" s="6"/>
      <c r="C96" s="6"/>
      <c r="D96" s="6"/>
      <c r="E96" s="6"/>
      <c r="F96" s="6"/>
      <c r="G96" s="6"/>
      <c r="H96" s="6"/>
      <c r="I96" s="6"/>
      <c r="J96" s="6"/>
      <c r="K96" s="6"/>
      <c r="L96" s="6"/>
      <c r="M96" s="6"/>
      <c r="N96" s="6"/>
      <c r="O96" s="6"/>
      <c r="P96" s="6"/>
      <c r="Q96" s="6"/>
      <c r="R96" s="6"/>
      <c r="S96" s="6"/>
      <c r="T96" s="6"/>
      <c r="U96" s="6"/>
      <c r="V96" s="6"/>
      <c r="W96" s="6"/>
      <c r="AB96" s="27" t="str">
        <f>IFERROR(VLOOKUP(AB95,Dates!$B:$D,3,FALSE),"")</f>
        <v>1Q20</v>
      </c>
      <c r="AC96" s="27" t="str">
        <f>IFERROR(VLOOKUP(AC95,Dates!$B:$D,3,FALSE),"")</f>
        <v>2Q20</v>
      </c>
      <c r="AD96" s="27" t="str">
        <f>IFERROR(VLOOKUP(AD95,Dates!$B:$D,3,FALSE),"")</f>
        <v>3Q20</v>
      </c>
      <c r="AE96" s="27" t="str">
        <f>IFERROR(VLOOKUP(AE95,Dates!$B:$D,3,FALSE),"")</f>
        <v>4Q20</v>
      </c>
      <c r="AF96" s="27" t="str">
        <f>IFERROR(VLOOKUP(AF95,Dates!$B:$D,3,FALSE),"")</f>
        <v>1Q21</v>
      </c>
      <c r="AG96" s="27" t="str">
        <f>IFERROR(VLOOKUP(AG95,Dates!$B:$D,3,FALSE),"")</f>
        <v>2Q21</v>
      </c>
      <c r="AH96" s="27" t="str">
        <f>IFERROR(VLOOKUP(AH95,Dates!$B:$D,3,FALSE),"")</f>
        <v>3Q21</v>
      </c>
      <c r="AI96" s="27" t="str">
        <f>IFERROR(VLOOKUP(AI95,Dates!$B:$D,3,FALSE),"")</f>
        <v>4Q21</v>
      </c>
      <c r="AJ96" s="27" t="str">
        <f>IFERROR(VLOOKUP(AJ95,Dates!$B:$D,3,FALSE),"")</f>
        <v>1Q22</v>
      </c>
      <c r="AK96" s="27" t="str">
        <f>IFERROR(VLOOKUP(AK95,Dates!$B:$D,3,FALSE),"")</f>
        <v>2Q22</v>
      </c>
      <c r="AL96" s="27" t="str">
        <f>IFERROR(VLOOKUP(AL95,Dates!$B:$D,3,FALSE),"")</f>
        <v>3Q22</v>
      </c>
      <c r="AM96" s="27" t="str">
        <f>IFERROR(VLOOKUP(AM95,Dates!$B:$D,3,FALSE),"")</f>
        <v>4Q22</v>
      </c>
      <c r="AN96" s="27" t="str">
        <f>IFERROR(VLOOKUP(AN95,Dates!$B:$D,3,FALSE),"")</f>
        <v>1Q23</v>
      </c>
      <c r="AO96" s="27" t="str">
        <f>IFERROR(VLOOKUP(AO95,Dates!$B:$D,3,FALSE),"")</f>
        <v>2Q23</v>
      </c>
      <c r="AP96" s="27" t="str">
        <f>IFERROR(VLOOKUP(AP95,Dates!$B:$D,3,FALSE),"")</f>
        <v>3Q23</v>
      </c>
      <c r="AQ96" s="27" t="str">
        <f>IFERROR(VLOOKUP(AQ95,Dates!$B:$D,3,FALSE),"")</f>
        <v>4Q23</v>
      </c>
      <c r="AR96" s="27" t="str">
        <f>IFERROR(VLOOKUP(AR95,Dates!$B:$D,3,FALSE),"")</f>
        <v>1Q24</v>
      </c>
      <c r="AS96" s="27" t="str">
        <f>IFERROR(VLOOKUP(AS95,Dates!$B:$D,3,FALSE),"")</f>
        <v>2Q24</v>
      </c>
      <c r="AT96" s="27" t="str">
        <f>IFERROR(VLOOKUP(AT95,Dates!$B:$D,3,FALSE),"")</f>
        <v>3Q24</v>
      </c>
      <c r="AU96" s="28" t="str">
        <f>$G$3</f>
        <v>4Q24</v>
      </c>
    </row>
    <row r="97" spans="1:47" x14ac:dyDescent="0.35">
      <c r="A97" s="6"/>
      <c r="B97" s="6"/>
      <c r="C97" s="6"/>
      <c r="D97" s="6"/>
      <c r="E97" s="6"/>
      <c r="F97" s="6"/>
      <c r="G97" s="6"/>
      <c r="H97" s="6"/>
      <c r="I97" s="6"/>
      <c r="J97" s="6"/>
      <c r="K97" s="6"/>
      <c r="L97" s="6"/>
      <c r="M97" s="6"/>
      <c r="N97" s="6"/>
      <c r="O97" s="6"/>
      <c r="P97" s="6"/>
      <c r="Q97" s="6"/>
      <c r="R97" s="6"/>
      <c r="S97" s="6"/>
      <c r="T97" s="6"/>
      <c r="U97" s="6"/>
      <c r="V97" s="6"/>
      <c r="W97" s="6"/>
      <c r="AA97" s="29" t="str">
        <f>'Domestic Mobile Operations'!A48</f>
        <v>Net subscriber Additions</v>
      </c>
      <c r="AB97" s="30">
        <f>IFERROR(INDEX('Domestic Mobile Operations'!$A:$AAZ,MATCH($AA97,'Domestic Mobile Operations'!$A:$A,0),MATCH(AB96,'Domestic Mobile Operations'!$1:$1,0)),"")</f>
        <v>86</v>
      </c>
      <c r="AC97" s="30">
        <f>IFERROR(INDEX('Domestic Mobile Operations'!$A:$AAZ,MATCH($AA97,'Domestic Mobile Operations'!$A:$A,0),MATCH(AC96,'Domestic Mobile Operations'!$1:$1,0)),"")</f>
        <v>414</v>
      </c>
      <c r="AD97" s="30">
        <f>IFERROR(INDEX('Domestic Mobile Operations'!$A:$AAZ,MATCH($AA97,'Domestic Mobile Operations'!$A:$A,0),MATCH(AD96,'Domestic Mobile Operations'!$1:$1,0)),"")</f>
        <v>-618</v>
      </c>
      <c r="AE97" s="30">
        <f>IFERROR(INDEX('Domestic Mobile Operations'!$A:$AAZ,MATCH($AA97,'Domestic Mobile Operations'!$A:$A,0),MATCH(AE96,'Domestic Mobile Operations'!$1:$1,0)),"")</f>
        <v>145</v>
      </c>
      <c r="AF97" s="30">
        <f>IFERROR(INDEX('Domestic Mobile Operations'!$A:$AAZ,MATCH($AA97,'Domestic Mobile Operations'!$A:$A,0),MATCH(AF96,'Domestic Mobile Operations'!$1:$1,0)),"")</f>
        <v>255</v>
      </c>
      <c r="AG97" s="30">
        <f>IFERROR(INDEX('Domestic Mobile Operations'!$A:$AAZ,MATCH($AA97,'Domestic Mobile Operations'!$A:$A,0),MATCH(AG96,'Domestic Mobile Operations'!$1:$1,0)),"")</f>
        <v>155</v>
      </c>
      <c r="AH97" s="30">
        <f>IFERROR(INDEX('Domestic Mobile Operations'!$A:$AAZ,MATCH($AA97,'Domestic Mobile Operations'!$A:$A,0),MATCH(AH96,'Domestic Mobile Operations'!$1:$1,0)),"")</f>
        <v>-20</v>
      </c>
      <c r="AI97" s="30">
        <f>IFERROR(INDEX('Domestic Mobile Operations'!$A:$AAZ,MATCH($AA97,'Domestic Mobile Operations'!$A:$A,0),MATCH(AI96,'Domestic Mobile Operations'!$1:$1,0)),"")</f>
        <v>191</v>
      </c>
      <c r="AJ97" s="30">
        <f>IFERROR(INDEX('Domestic Mobile Operations'!$A:$AAZ,MATCH($AA97,'Domestic Mobile Operations'!$A:$A,0),MATCH(AJ96,'Domestic Mobile Operations'!$1:$1,0)),"")</f>
        <v>-202</v>
      </c>
      <c r="AK97" s="30">
        <f>IFERROR(INDEX('Domestic Mobile Operations'!$A:$AAZ,MATCH($AA97,'Domestic Mobile Operations'!$A:$A,0),MATCH(AK96,'Domestic Mobile Operations'!$1:$1,0)),"")</f>
        <v>127</v>
      </c>
      <c r="AL97" s="30">
        <f>IFERROR(INDEX('Domestic Mobile Operations'!$A:$AAZ,MATCH($AA97,'Domestic Mobile Operations'!$A:$A,0),MATCH(AL96,'Domestic Mobile Operations'!$1:$1,0)),"")</f>
        <v>110</v>
      </c>
      <c r="AM97" s="30">
        <f>IFERROR(INDEX('Domestic Mobile Operations'!$A:$AAZ,MATCH($AA97,'Domestic Mobile Operations'!$A:$A,0),MATCH(AM96,'Domestic Mobile Operations'!$1:$1,0)),"")</f>
        <v>2</v>
      </c>
      <c r="AN97" s="30">
        <f>IFERROR(INDEX('Domestic Mobile Operations'!$A:$AAZ,MATCH($AA97,'Domestic Mobile Operations'!$A:$A,0),MATCH(AN96,'Domestic Mobile Operations'!$1:$1,0)),"")</f>
        <v>41</v>
      </c>
      <c r="AO97" s="30">
        <f>IFERROR(INDEX('Domestic Mobile Operations'!$A:$AAZ,MATCH($AA97,'Domestic Mobile Operations'!$A:$A,0),MATCH(AO96,'Domestic Mobile Operations'!$1:$1,0)),"")</f>
        <v>-41</v>
      </c>
      <c r="AP97" s="30">
        <f>IFERROR(INDEX('Domestic Mobile Operations'!$A:$AAZ,MATCH($AA97,'Domestic Mobile Operations'!$A:$A,0),MATCH(AP96,'Domestic Mobile Operations'!$1:$1,0)),"")</f>
        <v>256</v>
      </c>
      <c r="AQ97" s="30">
        <f>IFERROR(INDEX('Domestic Mobile Operations'!$A:$AAZ,MATCH($AA97,'Domestic Mobile Operations'!$A:$A,0),MATCH(AQ96,'Domestic Mobile Operations'!$1:$1,0)),"")</f>
        <v>501</v>
      </c>
      <c r="AR97" s="30">
        <f>IFERROR(INDEX('Domestic Mobile Operations'!$A:$AAZ,MATCH($AA97,'Domestic Mobile Operations'!$A:$A,0),MATCH(AR96,'Domestic Mobile Operations'!$1:$1,0)),"")</f>
        <v>-78</v>
      </c>
      <c r="AS97" s="30">
        <f>IFERROR(INDEX('Domestic Mobile Operations'!$A:$AAZ,MATCH($AA97,'Domestic Mobile Operations'!$A:$A,0),MATCH(AS96,'Domestic Mobile Operations'!$1:$1,0)),"")</f>
        <v>195</v>
      </c>
      <c r="AT97" s="30">
        <f>IFERROR(INDEX('Domestic Mobile Operations'!$A:$AAZ,MATCH($AA97,'Domestic Mobile Operations'!$A:$A,0),MATCH(AT96,'Domestic Mobile Operations'!$1:$1,0)),"")</f>
        <v>109</v>
      </c>
      <c r="AU97" s="30">
        <f>IFERROR(INDEX('Domestic Mobile Operations'!$A:$AAZ,MATCH($AA97,'Domestic Mobile Operations'!$A:$A,0),MATCH(AU96,'Domestic Mobile Operations'!$1:$1,0)),"")</f>
        <v>85</v>
      </c>
    </row>
    <row r="98" spans="1:47" x14ac:dyDescent="0.35">
      <c r="A98" s="6"/>
      <c r="B98" s="6"/>
      <c r="C98" s="6"/>
      <c r="D98" s="6"/>
      <c r="E98" s="6"/>
      <c r="F98" s="6"/>
      <c r="G98" s="6"/>
      <c r="H98" s="6"/>
      <c r="I98" s="6"/>
      <c r="J98" s="6"/>
      <c r="K98" s="6"/>
      <c r="L98" s="6"/>
      <c r="M98" s="6"/>
      <c r="N98" s="6"/>
      <c r="O98" s="6"/>
      <c r="P98" s="6"/>
      <c r="Q98" s="6"/>
      <c r="R98" s="6"/>
      <c r="S98" s="6"/>
      <c r="T98" s="6"/>
      <c r="U98" s="6"/>
      <c r="V98" s="6"/>
      <c r="W98" s="6"/>
    </row>
    <row r="99" spans="1:47" x14ac:dyDescent="0.35">
      <c r="A99" s="6"/>
      <c r="B99" s="6"/>
      <c r="C99" s="6"/>
      <c r="D99" s="6"/>
      <c r="E99" s="6"/>
      <c r="F99" s="6"/>
      <c r="G99" s="6"/>
      <c r="H99" s="6"/>
      <c r="I99" s="6"/>
      <c r="J99" s="6"/>
      <c r="K99" s="6"/>
      <c r="L99" s="6"/>
      <c r="M99" s="6"/>
      <c r="N99" s="6"/>
      <c r="O99" s="6"/>
      <c r="P99" s="6"/>
      <c r="Q99" s="6"/>
      <c r="R99" s="6"/>
      <c r="S99" s="6"/>
      <c r="T99" s="6"/>
      <c r="U99" s="6"/>
      <c r="V99" s="6"/>
      <c r="W99" s="6"/>
    </row>
    <row r="100" spans="1:47" x14ac:dyDescent="0.35">
      <c r="A100" s="6"/>
      <c r="B100" s="6"/>
      <c r="C100" s="6"/>
      <c r="D100" s="6"/>
      <c r="E100" s="6"/>
      <c r="F100" s="6"/>
      <c r="G100" s="6"/>
      <c r="H100" s="6"/>
      <c r="I100" s="6"/>
      <c r="J100" s="6"/>
      <c r="K100" s="6"/>
      <c r="L100" s="6"/>
      <c r="M100" s="6"/>
      <c r="N100" s="6"/>
      <c r="O100" s="6"/>
      <c r="P100" s="6"/>
      <c r="Q100" s="6"/>
      <c r="R100" s="6"/>
      <c r="S100" s="6"/>
      <c r="T100" s="6"/>
      <c r="U100" s="6"/>
      <c r="V100" s="6"/>
      <c r="W100" s="6"/>
    </row>
    <row r="101" spans="1:47" x14ac:dyDescent="0.35">
      <c r="A101" s="6"/>
      <c r="B101" s="6"/>
      <c r="C101" s="6"/>
      <c r="D101" s="6"/>
      <c r="E101" s="6"/>
      <c r="F101" s="6"/>
      <c r="G101" s="6"/>
      <c r="H101" s="6"/>
      <c r="I101" s="6"/>
      <c r="J101" s="6"/>
      <c r="K101" s="6"/>
      <c r="L101" s="6"/>
      <c r="M101" s="6"/>
      <c r="N101" s="6"/>
      <c r="O101" s="6"/>
      <c r="P101" s="6"/>
      <c r="Q101" s="6"/>
      <c r="R101" s="6"/>
      <c r="S101" s="6"/>
      <c r="T101" s="6"/>
      <c r="U101" s="6"/>
      <c r="V101" s="6"/>
      <c r="W101" s="6"/>
    </row>
    <row r="102" spans="1:47" x14ac:dyDescent="0.35">
      <c r="A102" s="6"/>
      <c r="B102" s="6"/>
      <c r="C102" s="6"/>
      <c r="D102" s="6"/>
      <c r="E102" s="6"/>
      <c r="F102" s="6"/>
      <c r="G102" s="6"/>
      <c r="H102" s="6"/>
      <c r="I102" s="6"/>
      <c r="J102" s="6"/>
      <c r="K102" s="6"/>
      <c r="L102" s="6"/>
      <c r="M102" s="6"/>
      <c r="N102" s="6"/>
      <c r="O102" s="6"/>
      <c r="P102" s="6"/>
      <c r="Q102" s="6"/>
      <c r="R102" s="6"/>
      <c r="S102" s="6"/>
      <c r="T102" s="6"/>
      <c r="U102" s="6"/>
      <c r="V102" s="6"/>
      <c r="W102" s="6"/>
    </row>
    <row r="103" spans="1:47" x14ac:dyDescent="0.35">
      <c r="A103" s="6"/>
      <c r="B103" s="6"/>
      <c r="C103" s="6"/>
      <c r="D103" s="6"/>
      <c r="E103" s="6"/>
      <c r="F103" s="6"/>
      <c r="G103" s="6"/>
      <c r="H103" s="6"/>
      <c r="I103" s="6"/>
      <c r="J103" s="6"/>
      <c r="K103" s="6"/>
      <c r="L103" s="6"/>
      <c r="M103" s="6"/>
      <c r="N103" s="6"/>
      <c r="O103" s="6"/>
      <c r="P103" s="6"/>
      <c r="Q103" s="6"/>
      <c r="R103" s="6"/>
      <c r="S103" s="6"/>
      <c r="T103" s="6"/>
      <c r="U103" s="6"/>
      <c r="V103" s="6"/>
      <c r="W103" s="6"/>
    </row>
    <row r="104" spans="1:47" x14ac:dyDescent="0.35">
      <c r="A104" s="1" t="s">
        <v>55</v>
      </c>
      <c r="B104" s="1"/>
      <c r="C104" s="1"/>
      <c r="D104" s="1"/>
      <c r="E104" s="1"/>
      <c r="F104" s="1"/>
      <c r="G104" s="1"/>
      <c r="H104" s="1"/>
      <c r="I104" s="1"/>
      <c r="J104" s="1"/>
      <c r="K104" s="1"/>
      <c r="L104" s="1"/>
      <c r="M104" s="1"/>
      <c r="N104" s="1"/>
      <c r="O104" s="1"/>
      <c r="P104" s="1"/>
      <c r="Q104" s="1"/>
      <c r="R104" s="1"/>
      <c r="S104" s="1"/>
      <c r="T104" s="1"/>
      <c r="U104" s="6"/>
      <c r="V104" s="6"/>
      <c r="W104" s="6"/>
    </row>
    <row r="105" spans="1:47" x14ac:dyDescent="0.35">
      <c r="A105" s="1" t="s">
        <v>27</v>
      </c>
      <c r="B105" s="1" t="s">
        <v>177</v>
      </c>
      <c r="C105" s="1"/>
      <c r="D105" s="1"/>
      <c r="E105" s="1"/>
      <c r="F105" s="1"/>
      <c r="G105" s="1"/>
      <c r="H105" s="1"/>
      <c r="I105" s="1"/>
      <c r="J105" s="1"/>
      <c r="K105" s="1" t="s">
        <v>28</v>
      </c>
      <c r="L105" s="1" t="s">
        <v>178</v>
      </c>
      <c r="M105" s="1"/>
      <c r="N105" s="1"/>
      <c r="O105" s="1"/>
      <c r="P105" s="1"/>
      <c r="Q105" s="1"/>
      <c r="R105" s="1"/>
      <c r="S105" s="1"/>
      <c r="T105" s="1"/>
      <c r="U105" s="6"/>
      <c r="V105" s="6"/>
      <c r="W105" s="6"/>
    </row>
    <row r="106" spans="1:47" x14ac:dyDescent="0.35">
      <c r="A106" s="6"/>
      <c r="B106" s="6"/>
      <c r="C106" s="6"/>
      <c r="D106" s="6"/>
      <c r="E106" s="6"/>
      <c r="F106" s="6"/>
      <c r="G106" s="6"/>
      <c r="H106" s="6"/>
      <c r="I106" s="6"/>
      <c r="J106" s="6"/>
      <c r="K106" s="6"/>
      <c r="L106" s="6"/>
      <c r="M106" s="6"/>
      <c r="N106" s="6"/>
      <c r="O106" s="6"/>
      <c r="P106" s="6"/>
      <c r="Q106" s="6"/>
      <c r="R106" s="6"/>
      <c r="S106" s="6"/>
      <c r="T106" s="6"/>
      <c r="U106" s="6"/>
      <c r="V106" s="6"/>
      <c r="W106" s="6"/>
    </row>
    <row r="107" spans="1:47" x14ac:dyDescent="0.35">
      <c r="A107" s="6"/>
      <c r="B107" s="6"/>
      <c r="C107" s="6"/>
      <c r="D107" s="6"/>
      <c r="E107" s="6"/>
      <c r="F107" s="6"/>
      <c r="G107" s="6"/>
      <c r="H107" s="6"/>
      <c r="I107" s="6"/>
      <c r="J107" s="6"/>
      <c r="K107" s="6"/>
      <c r="L107" s="6"/>
      <c r="M107" s="6"/>
      <c r="N107" s="6"/>
      <c r="O107" s="6"/>
      <c r="P107" s="6"/>
      <c r="Q107" s="6"/>
      <c r="R107" s="6"/>
      <c r="S107" s="6"/>
      <c r="T107" s="6"/>
      <c r="U107" s="6"/>
      <c r="V107" s="6"/>
      <c r="W107" s="6"/>
    </row>
    <row r="108" spans="1:47" x14ac:dyDescent="0.35">
      <c r="A108" s="6"/>
      <c r="B108" s="6"/>
      <c r="C108" s="6"/>
      <c r="D108" s="6"/>
      <c r="E108" s="6"/>
      <c r="F108" s="6"/>
      <c r="G108" s="6"/>
      <c r="H108" s="6"/>
      <c r="I108" s="6"/>
      <c r="J108" s="6"/>
      <c r="K108" s="6"/>
      <c r="L108" s="6"/>
      <c r="M108" s="6"/>
      <c r="N108" s="6"/>
      <c r="O108" s="6"/>
      <c r="P108" s="6"/>
      <c r="Q108" s="6"/>
      <c r="R108" s="6"/>
      <c r="S108" s="6"/>
      <c r="T108" s="6"/>
      <c r="U108" s="6"/>
      <c r="V108" s="6"/>
      <c r="W108" s="6"/>
      <c r="AB108" s="27">
        <f t="shared" ref="AB108" si="163">AC108-1</f>
        <v>33</v>
      </c>
      <c r="AC108" s="27">
        <f t="shared" ref="AC108" si="164">AD108-1</f>
        <v>34</v>
      </c>
      <c r="AD108" s="27">
        <f t="shared" ref="AD108" si="165">AE108-1</f>
        <v>35</v>
      </c>
      <c r="AE108" s="27">
        <f t="shared" ref="AE108" si="166">AF108-1</f>
        <v>36</v>
      </c>
      <c r="AF108" s="27">
        <f t="shared" ref="AF108" si="167">AG108-1</f>
        <v>37</v>
      </c>
      <c r="AG108" s="27">
        <f t="shared" ref="AG108" si="168">AH108-1</f>
        <v>38</v>
      </c>
      <c r="AH108" s="27">
        <f t="shared" ref="AH108" si="169">AI108-1</f>
        <v>39</v>
      </c>
      <c r="AI108" s="27">
        <f t="shared" ref="AI108" si="170">AJ108-1</f>
        <v>40</v>
      </c>
      <c r="AJ108" s="27">
        <f t="shared" ref="AJ108" si="171">AK108-1</f>
        <v>41</v>
      </c>
      <c r="AK108" s="27">
        <f t="shared" ref="AK108" si="172">AL108-1</f>
        <v>42</v>
      </c>
      <c r="AL108" s="27">
        <f t="shared" ref="AL108" si="173">AM108-1</f>
        <v>43</v>
      </c>
      <c r="AM108" s="27">
        <f t="shared" ref="AM108" si="174">AN108-1</f>
        <v>44</v>
      </c>
      <c r="AN108" s="27">
        <f t="shared" ref="AN108" si="175">AO108-1</f>
        <v>45</v>
      </c>
      <c r="AO108" s="27">
        <f t="shared" ref="AO108" si="176">AP108-1</f>
        <v>46</v>
      </c>
      <c r="AP108" s="27">
        <f t="shared" ref="AP108" si="177">AQ108-1</f>
        <v>47</v>
      </c>
      <c r="AQ108" s="27">
        <f t="shared" ref="AQ108" si="178">AR108-1</f>
        <v>48</v>
      </c>
      <c r="AR108" s="27">
        <f t="shared" ref="AR108" si="179">AS108-1</f>
        <v>49</v>
      </c>
      <c r="AS108" s="27">
        <f t="shared" ref="AS108" si="180">AT108-1</f>
        <v>50</v>
      </c>
      <c r="AT108" s="27">
        <f>AU108-1</f>
        <v>51</v>
      </c>
      <c r="AU108" s="27">
        <f>VLOOKUP(AU109,Dates!$A:$D,2,FALSE)</f>
        <v>52</v>
      </c>
    </row>
    <row r="109" spans="1:47" x14ac:dyDescent="0.35">
      <c r="A109" s="6"/>
      <c r="B109" s="6"/>
      <c r="C109" s="6"/>
      <c r="D109" s="6"/>
      <c r="E109" s="6"/>
      <c r="F109" s="6"/>
      <c r="G109" s="6"/>
      <c r="H109" s="6"/>
      <c r="I109" s="6"/>
      <c r="J109" s="6"/>
      <c r="K109" s="6"/>
      <c r="L109" s="6"/>
      <c r="M109" s="6"/>
      <c r="N109" s="6"/>
      <c r="O109" s="6"/>
      <c r="P109" s="6"/>
      <c r="Q109" s="6"/>
      <c r="R109" s="6"/>
      <c r="S109" s="6"/>
      <c r="T109" s="6"/>
      <c r="U109" s="6"/>
      <c r="V109" s="6"/>
      <c r="W109" s="6"/>
      <c r="AB109" s="27" t="str">
        <f>IFERROR(VLOOKUP(AB108,Dates!$B:$D,3,FALSE),"")</f>
        <v>1Q20</v>
      </c>
      <c r="AC109" s="27" t="str">
        <f>IFERROR(VLOOKUP(AC108,Dates!$B:$D,3,FALSE),"")</f>
        <v>2Q20</v>
      </c>
      <c r="AD109" s="27" t="str">
        <f>IFERROR(VLOOKUP(AD108,Dates!$B:$D,3,FALSE),"")</f>
        <v>3Q20</v>
      </c>
      <c r="AE109" s="27" t="str">
        <f>IFERROR(VLOOKUP(AE108,Dates!$B:$D,3,FALSE),"")</f>
        <v>4Q20</v>
      </c>
      <c r="AF109" s="27" t="str">
        <f>IFERROR(VLOOKUP(AF108,Dates!$B:$D,3,FALSE),"")</f>
        <v>1Q21</v>
      </c>
      <c r="AG109" s="27" t="str">
        <f>IFERROR(VLOOKUP(AG108,Dates!$B:$D,3,FALSE),"")</f>
        <v>2Q21</v>
      </c>
      <c r="AH109" s="27" t="str">
        <f>IFERROR(VLOOKUP(AH108,Dates!$B:$D,3,FALSE),"")</f>
        <v>3Q21</v>
      </c>
      <c r="AI109" s="27" t="str">
        <f>IFERROR(VLOOKUP(AI108,Dates!$B:$D,3,FALSE),"")</f>
        <v>4Q21</v>
      </c>
      <c r="AJ109" s="27" t="str">
        <f>IFERROR(VLOOKUP(AJ108,Dates!$B:$D,3,FALSE),"")</f>
        <v>1Q22</v>
      </c>
      <c r="AK109" s="27" t="str">
        <f>IFERROR(VLOOKUP(AK108,Dates!$B:$D,3,FALSE),"")</f>
        <v>2Q22</v>
      </c>
      <c r="AL109" s="27" t="str">
        <f>IFERROR(VLOOKUP(AL108,Dates!$B:$D,3,FALSE),"")</f>
        <v>3Q22</v>
      </c>
      <c r="AM109" s="27" t="str">
        <f>IFERROR(VLOOKUP(AM108,Dates!$B:$D,3,FALSE),"")</f>
        <v>4Q22</v>
      </c>
      <c r="AN109" s="27" t="str">
        <f>IFERROR(VLOOKUP(AN108,Dates!$B:$D,3,FALSE),"")</f>
        <v>1Q23</v>
      </c>
      <c r="AO109" s="27" t="str">
        <f>IFERROR(VLOOKUP(AO108,Dates!$B:$D,3,FALSE),"")</f>
        <v>2Q23</v>
      </c>
      <c r="AP109" s="27" t="str">
        <f>IFERROR(VLOOKUP(AP108,Dates!$B:$D,3,FALSE),"")</f>
        <v>3Q23</v>
      </c>
      <c r="AQ109" s="27" t="str">
        <f>IFERROR(VLOOKUP(AQ108,Dates!$B:$D,3,FALSE),"")</f>
        <v>4Q23</v>
      </c>
      <c r="AR109" s="27" t="str">
        <f>IFERROR(VLOOKUP(AR108,Dates!$B:$D,3,FALSE),"")</f>
        <v>1Q24</v>
      </c>
      <c r="AS109" s="27" t="str">
        <f>IFERROR(VLOOKUP(AS108,Dates!$B:$D,3,FALSE),"")</f>
        <v>2Q24</v>
      </c>
      <c r="AT109" s="27" t="str">
        <f>IFERROR(VLOOKUP(AT108,Dates!$B:$D,3,FALSE),"")</f>
        <v>3Q24</v>
      </c>
      <c r="AU109" s="28" t="str">
        <f>$G$3</f>
        <v>4Q24</v>
      </c>
    </row>
    <row r="110" spans="1:47" x14ac:dyDescent="0.35">
      <c r="A110" s="6"/>
      <c r="B110" s="6"/>
      <c r="C110" s="6"/>
      <c r="D110" s="6"/>
      <c r="E110" s="6"/>
      <c r="F110" s="6"/>
      <c r="G110" s="6"/>
      <c r="H110" s="6"/>
      <c r="I110" s="6"/>
      <c r="J110" s="6"/>
      <c r="K110" s="6"/>
      <c r="L110" s="6"/>
      <c r="M110" s="6"/>
      <c r="N110" s="6"/>
      <c r="O110" s="6"/>
      <c r="P110" s="6"/>
      <c r="Q110" s="6"/>
      <c r="R110" s="6"/>
      <c r="S110" s="6"/>
      <c r="T110" s="6"/>
      <c r="U110" s="6"/>
      <c r="V110" s="6"/>
      <c r="W110" s="6"/>
      <c r="AA110" s="29" t="str">
        <f>'Domestic Mobile Operations'!A42</f>
        <v>Data traffic</v>
      </c>
      <c r="AB110" s="30">
        <f>IFERROR(INDEX('Domestic Mobile Operations'!$A:$AAZ,MATCH($AA110,'Domestic Mobile Operations'!$A:$A,0),MATCH(AB109,'Domestic Mobile Operations'!$1:$1,0)),"")</f>
        <v>568.69911000000002</v>
      </c>
      <c r="AC110" s="30">
        <f>IFERROR(INDEX('Domestic Mobile Operations'!$A:$AAZ,MATCH($AA110,'Domestic Mobile Operations'!$A:$A,0),MATCH(AC109,'Domestic Mobile Operations'!$1:$1,0)),"")</f>
        <v>728.62166999999999</v>
      </c>
      <c r="AD110" s="30">
        <f>IFERROR(INDEX('Domestic Mobile Operations'!$A:$AAZ,MATCH($AA110,'Domestic Mobile Operations'!$A:$A,0),MATCH(AD109,'Domestic Mobile Operations'!$1:$1,0)),"")</f>
        <v>668.01974999999993</v>
      </c>
      <c r="AE110" s="30">
        <f>IFERROR(INDEX('Domestic Mobile Operations'!$A:$AAZ,MATCH($AA110,'Domestic Mobile Operations'!$A:$A,0),MATCH(AE109,'Domestic Mobile Operations'!$1:$1,0)),"")</f>
        <v>696.48412499999995</v>
      </c>
      <c r="AF110" s="30">
        <f>IFERROR(INDEX('Domestic Mobile Operations'!$A:$AAZ,MATCH($AA110,'Domestic Mobile Operations'!$A:$A,0),MATCH(AF109,'Domestic Mobile Operations'!$1:$1,0)),"")</f>
        <v>737.29148999999995</v>
      </c>
      <c r="AG110" s="30">
        <f>IFERROR(INDEX('Domestic Mobile Operations'!$A:$AAZ,MATCH($AA110,'Domestic Mobile Operations'!$A:$A,0),MATCH(AG109,'Domestic Mobile Operations'!$1:$1,0)),"")</f>
        <v>848.64419999999996</v>
      </c>
      <c r="AH110" s="30">
        <f>IFERROR(INDEX('Domestic Mobile Operations'!$A:$AAZ,MATCH($AA110,'Domestic Mobile Operations'!$A:$A,0),MATCH(AH109,'Domestic Mobile Operations'!$1:$1,0)),"")</f>
        <v>873.52551000000005</v>
      </c>
      <c r="AI110" s="30">
        <f>IFERROR(INDEX('Domestic Mobile Operations'!$A:$AAZ,MATCH($AA110,'Domestic Mobile Operations'!$A:$A,0),MATCH(AI109,'Domestic Mobile Operations'!$1:$1,0)),"")</f>
        <v>859.84379999999987</v>
      </c>
      <c r="AJ110" s="30">
        <f>IFERROR(INDEX('Domestic Mobile Operations'!$A:$AAZ,MATCH($AA110,'Domestic Mobile Operations'!$A:$A,0),MATCH(AJ109,'Domestic Mobile Operations'!$1:$1,0)),"")</f>
        <v>852.39660000000015</v>
      </c>
      <c r="AK110" s="30">
        <f>IFERROR(INDEX('Domestic Mobile Operations'!$A:$AAZ,MATCH($AA110,'Domestic Mobile Operations'!$A:$A,0),MATCH(AK109,'Domestic Mobile Operations'!$1:$1,0)),"")</f>
        <v>874.25144999999998</v>
      </c>
      <c r="AL110" s="30">
        <f>IFERROR(INDEX('Domestic Mobile Operations'!$A:$AAZ,MATCH($AA110,'Domestic Mobile Operations'!$A:$A,0),MATCH(AL109,'Domestic Mobile Operations'!$1:$1,0)),"")</f>
        <v>932.75580000000002</v>
      </c>
      <c r="AM110" s="30">
        <f>IFERROR(INDEX('Domestic Mobile Operations'!$A:$AAZ,MATCH($AA110,'Domestic Mobile Operations'!$A:$A,0),MATCH(AM109,'Domestic Mobile Operations'!$1:$1,0)),"")</f>
        <v>947.86439999999993</v>
      </c>
      <c r="AN110" s="30">
        <f>IFERROR(INDEX('Domestic Mobile Operations'!$A:$AAZ,MATCH($AA110,'Domestic Mobile Operations'!$A:$A,0),MATCH(AN109,'Domestic Mobile Operations'!$1:$1,0)),"")</f>
        <v>899.60219999999993</v>
      </c>
      <c r="AO110" s="30">
        <f>IFERROR(INDEX('Domestic Mobile Operations'!$A:$AAZ,MATCH($AA110,'Domestic Mobile Operations'!$A:$A,0),MATCH(AO109,'Domestic Mobile Operations'!$1:$1,0)),"")</f>
        <v>931.73085000000015</v>
      </c>
      <c r="AP110" s="30">
        <f>IFERROR(INDEX('Domestic Mobile Operations'!$A:$AAZ,MATCH($AA110,'Domestic Mobile Operations'!$A:$A,0),MATCH(AP109,'Domestic Mobile Operations'!$1:$1,0)),"")</f>
        <v>968.96489999999994</v>
      </c>
      <c r="AQ110" s="30">
        <f>IFERROR(INDEX('Domestic Mobile Operations'!$A:$AAZ,MATCH($AA110,'Domestic Mobile Operations'!$A:$A,0),MATCH(AQ109,'Domestic Mobile Operations'!$1:$1,0)),"")</f>
        <v>1032.9507000000001</v>
      </c>
      <c r="AR110" s="30">
        <f>IFERROR(INDEX('Domestic Mobile Operations'!$A:$AAZ,MATCH($AA110,'Domestic Mobile Operations'!$A:$A,0),MATCH(AR109,'Domestic Mobile Operations'!$1:$1,0)),"")</f>
        <v>1114.8344999999999</v>
      </c>
      <c r="AS110" s="30">
        <f>IFERROR(INDEX('Domestic Mobile Operations'!$A:$AAZ,MATCH($AA110,'Domestic Mobile Operations'!$A:$A,0),MATCH(AS109,'Domestic Mobile Operations'!$1:$1,0)),"")</f>
        <v>1127.6050499999999</v>
      </c>
      <c r="AT110" s="30">
        <f>IFERROR(INDEX('Domestic Mobile Operations'!$A:$AAZ,MATCH($AA110,'Domestic Mobile Operations'!$A:$A,0),MATCH(AT109,'Domestic Mobile Operations'!$1:$1,0)),"")</f>
        <v>1156.5172500000001</v>
      </c>
      <c r="AU110" s="30">
        <f>IFERROR(INDEX('Domestic Mobile Operations'!$A:$AAZ,MATCH($AA110,'Domestic Mobile Operations'!$A:$A,0),MATCH(AU109,'Domestic Mobile Operations'!$1:$1,0)),"")</f>
        <v>1211.7325499999999</v>
      </c>
    </row>
    <row r="111" spans="1:47" x14ac:dyDescent="0.35">
      <c r="A111" s="6"/>
      <c r="B111" s="6"/>
      <c r="C111" s="6"/>
      <c r="D111" s="6"/>
      <c r="E111" s="6"/>
      <c r="F111" s="6"/>
      <c r="G111" s="6"/>
      <c r="H111" s="6"/>
      <c r="I111" s="6"/>
      <c r="J111" s="6"/>
      <c r="K111" s="6"/>
      <c r="L111" s="6"/>
      <c r="M111" s="6"/>
      <c r="N111" s="6"/>
      <c r="O111" s="6"/>
      <c r="P111" s="6"/>
      <c r="Q111" s="6"/>
      <c r="R111" s="6"/>
      <c r="S111" s="6"/>
      <c r="T111" s="6"/>
      <c r="U111" s="6"/>
      <c r="V111" s="6"/>
      <c r="W111" s="6"/>
      <c r="AB111" s="30"/>
      <c r="AC111" s="30"/>
      <c r="AD111" s="30"/>
      <c r="AE111" s="30"/>
      <c r="AF111" s="30"/>
      <c r="AG111" s="30"/>
      <c r="AH111" s="30"/>
      <c r="AI111" s="30"/>
      <c r="AJ111" s="30"/>
      <c r="AK111" s="30"/>
      <c r="AL111" s="30"/>
      <c r="AM111" s="30"/>
      <c r="AN111" s="30"/>
      <c r="AO111" s="30"/>
      <c r="AP111" s="30"/>
      <c r="AQ111" s="30"/>
      <c r="AR111" s="30"/>
      <c r="AS111" s="30"/>
      <c r="AT111" s="30"/>
      <c r="AU111" s="30"/>
    </row>
    <row r="112" spans="1:47" x14ac:dyDescent="0.35">
      <c r="A112" s="6"/>
      <c r="B112" s="6"/>
      <c r="C112" s="6"/>
      <c r="D112" s="6"/>
      <c r="E112" s="6"/>
      <c r="F112" s="6"/>
      <c r="G112" s="6"/>
      <c r="H112" s="6"/>
      <c r="I112" s="6"/>
      <c r="J112" s="6"/>
      <c r="K112" s="6"/>
      <c r="L112" s="6"/>
      <c r="M112" s="6"/>
      <c r="N112" s="6"/>
      <c r="O112" s="6"/>
      <c r="P112" s="6"/>
      <c r="Q112" s="6"/>
      <c r="R112" s="6"/>
      <c r="S112" s="6"/>
      <c r="T112" s="6"/>
      <c r="U112" s="6"/>
      <c r="V112" s="6"/>
      <c r="W112" s="6"/>
    </row>
    <row r="113" spans="1:47" x14ac:dyDescent="0.35">
      <c r="A113" s="6"/>
      <c r="B113" s="6"/>
      <c r="C113" s="6"/>
      <c r="D113" s="6"/>
      <c r="E113" s="6"/>
      <c r="F113" s="6"/>
      <c r="G113" s="6"/>
      <c r="H113" s="6"/>
      <c r="I113" s="6"/>
      <c r="J113" s="6"/>
      <c r="K113" s="6"/>
      <c r="L113" s="6"/>
      <c r="M113" s="6"/>
      <c r="N113" s="6"/>
      <c r="O113" s="6"/>
      <c r="P113" s="6"/>
      <c r="Q113" s="6"/>
      <c r="R113" s="6"/>
      <c r="S113" s="6"/>
      <c r="T113" s="6"/>
      <c r="U113" s="6"/>
      <c r="V113" s="6"/>
      <c r="W113" s="6"/>
    </row>
    <row r="114" spans="1:47" x14ac:dyDescent="0.35">
      <c r="A114" s="6"/>
      <c r="B114" s="6"/>
      <c r="C114" s="6"/>
      <c r="D114" s="6"/>
      <c r="E114" s="6"/>
      <c r="F114" s="6"/>
      <c r="G114" s="6"/>
      <c r="H114" s="6"/>
      <c r="I114" s="6"/>
      <c r="J114" s="6"/>
      <c r="K114" s="6"/>
      <c r="L114" s="6"/>
      <c r="M114" s="6"/>
      <c r="N114" s="6"/>
      <c r="O114" s="6"/>
      <c r="P114" s="6"/>
      <c r="Q114" s="6"/>
      <c r="R114" s="6"/>
      <c r="S114" s="6"/>
      <c r="T114" s="6"/>
      <c r="U114" s="6"/>
      <c r="V114" s="6"/>
      <c r="W114" s="6"/>
      <c r="AB114" s="27">
        <f t="shared" ref="AB114" si="181">AC114-1</f>
        <v>33</v>
      </c>
      <c r="AC114" s="27">
        <f t="shared" ref="AC114" si="182">AD114-1</f>
        <v>34</v>
      </c>
      <c r="AD114" s="27">
        <f t="shared" ref="AD114" si="183">AE114-1</f>
        <v>35</v>
      </c>
      <c r="AE114" s="27">
        <f t="shared" ref="AE114" si="184">AF114-1</f>
        <v>36</v>
      </c>
      <c r="AF114" s="27">
        <f t="shared" ref="AF114" si="185">AG114-1</f>
        <v>37</v>
      </c>
      <c r="AG114" s="27">
        <f t="shared" ref="AG114" si="186">AH114-1</f>
        <v>38</v>
      </c>
      <c r="AH114" s="27">
        <f t="shared" ref="AH114" si="187">AI114-1</f>
        <v>39</v>
      </c>
      <c r="AI114" s="27">
        <f t="shared" ref="AI114" si="188">AJ114-1</f>
        <v>40</v>
      </c>
      <c r="AJ114" s="27">
        <f t="shared" ref="AJ114" si="189">AK114-1</f>
        <v>41</v>
      </c>
      <c r="AK114" s="27">
        <f t="shared" ref="AK114" si="190">AL114-1</f>
        <v>42</v>
      </c>
      <c r="AL114" s="27">
        <f t="shared" ref="AL114" si="191">AM114-1</f>
        <v>43</v>
      </c>
      <c r="AM114" s="27">
        <f t="shared" ref="AM114" si="192">AN114-1</f>
        <v>44</v>
      </c>
      <c r="AN114" s="27">
        <f t="shared" ref="AN114" si="193">AO114-1</f>
        <v>45</v>
      </c>
      <c r="AO114" s="27">
        <f t="shared" ref="AO114" si="194">AP114-1</f>
        <v>46</v>
      </c>
      <c r="AP114" s="27">
        <f t="shared" ref="AP114" si="195">AQ114-1</f>
        <v>47</v>
      </c>
      <c r="AQ114" s="27">
        <f t="shared" ref="AQ114" si="196">AR114-1</f>
        <v>48</v>
      </c>
      <c r="AR114" s="27">
        <f t="shared" ref="AR114" si="197">AS114-1</f>
        <v>49</v>
      </c>
      <c r="AS114" s="27">
        <f t="shared" ref="AS114" si="198">AT114-1</f>
        <v>50</v>
      </c>
      <c r="AT114" s="27">
        <f>AU114-1</f>
        <v>51</v>
      </c>
      <c r="AU114" s="27">
        <f>VLOOKUP(AU115,Dates!$A:$D,2,FALSE)</f>
        <v>52</v>
      </c>
    </row>
    <row r="115" spans="1:47" x14ac:dyDescent="0.35">
      <c r="A115" s="6"/>
      <c r="B115" s="6"/>
      <c r="C115" s="6"/>
      <c r="D115" s="6"/>
      <c r="E115" s="6"/>
      <c r="F115" s="6"/>
      <c r="G115" s="6"/>
      <c r="H115" s="6"/>
      <c r="I115" s="6"/>
      <c r="J115" s="6"/>
      <c r="K115" s="6"/>
      <c r="L115" s="6"/>
      <c r="M115" s="6"/>
      <c r="N115" s="6"/>
      <c r="O115" s="6"/>
      <c r="P115" s="6"/>
      <c r="Q115" s="6"/>
      <c r="R115" s="6"/>
      <c r="S115" s="6"/>
      <c r="T115" s="6"/>
      <c r="U115" s="6"/>
      <c r="V115" s="6"/>
      <c r="W115" s="6"/>
      <c r="AB115" s="27" t="str">
        <f>IFERROR(VLOOKUP(AB114,Dates!$B:$D,3,FALSE),"")</f>
        <v>1Q20</v>
      </c>
      <c r="AC115" s="27" t="str">
        <f>IFERROR(VLOOKUP(AC114,Dates!$B:$D,3,FALSE),"")</f>
        <v>2Q20</v>
      </c>
      <c r="AD115" s="27" t="str">
        <f>IFERROR(VLOOKUP(AD114,Dates!$B:$D,3,FALSE),"")</f>
        <v>3Q20</v>
      </c>
      <c r="AE115" s="27" t="str">
        <f>IFERROR(VLOOKUP(AE114,Dates!$B:$D,3,FALSE),"")</f>
        <v>4Q20</v>
      </c>
      <c r="AF115" s="27" t="str">
        <f>IFERROR(VLOOKUP(AF114,Dates!$B:$D,3,FALSE),"")</f>
        <v>1Q21</v>
      </c>
      <c r="AG115" s="27" t="str">
        <f>IFERROR(VLOOKUP(AG114,Dates!$B:$D,3,FALSE),"")</f>
        <v>2Q21</v>
      </c>
      <c r="AH115" s="27" t="str">
        <f>IFERROR(VLOOKUP(AH114,Dates!$B:$D,3,FALSE),"")</f>
        <v>3Q21</v>
      </c>
      <c r="AI115" s="27" t="str">
        <f>IFERROR(VLOOKUP(AI114,Dates!$B:$D,3,FALSE),"")</f>
        <v>4Q21</v>
      </c>
      <c r="AJ115" s="27" t="str">
        <f>IFERROR(VLOOKUP(AJ114,Dates!$B:$D,3,FALSE),"")</f>
        <v>1Q22</v>
      </c>
      <c r="AK115" s="27" t="str">
        <f>IFERROR(VLOOKUP(AK114,Dates!$B:$D,3,FALSE),"")</f>
        <v>2Q22</v>
      </c>
      <c r="AL115" s="27" t="str">
        <f>IFERROR(VLOOKUP(AL114,Dates!$B:$D,3,FALSE),"")</f>
        <v>3Q22</v>
      </c>
      <c r="AM115" s="27" t="str">
        <f>IFERROR(VLOOKUP(AM114,Dates!$B:$D,3,FALSE),"")</f>
        <v>4Q22</v>
      </c>
      <c r="AN115" s="27" t="str">
        <f>IFERROR(VLOOKUP(AN114,Dates!$B:$D,3,FALSE),"")</f>
        <v>1Q23</v>
      </c>
      <c r="AO115" s="27" t="str">
        <f>IFERROR(VLOOKUP(AO114,Dates!$B:$D,3,FALSE),"")</f>
        <v>2Q23</v>
      </c>
      <c r="AP115" s="27" t="str">
        <f>IFERROR(VLOOKUP(AP114,Dates!$B:$D,3,FALSE),"")</f>
        <v>3Q23</v>
      </c>
      <c r="AQ115" s="27" t="str">
        <f>IFERROR(VLOOKUP(AQ114,Dates!$B:$D,3,FALSE),"")</f>
        <v>4Q23</v>
      </c>
      <c r="AR115" s="27" t="str">
        <f>IFERROR(VLOOKUP(AR114,Dates!$B:$D,3,FALSE),"")</f>
        <v>1Q24</v>
      </c>
      <c r="AS115" s="27" t="str">
        <f>IFERROR(VLOOKUP(AS114,Dates!$B:$D,3,FALSE),"")</f>
        <v>2Q24</v>
      </c>
      <c r="AT115" s="27" t="str">
        <f>IFERROR(VLOOKUP(AT114,Dates!$B:$D,3,FALSE),"")</f>
        <v>3Q24</v>
      </c>
      <c r="AU115" s="28" t="str">
        <f>$G$3</f>
        <v>4Q24</v>
      </c>
    </row>
    <row r="116" spans="1:47" x14ac:dyDescent="0.35">
      <c r="A116" s="6"/>
      <c r="B116" s="6"/>
      <c r="C116" s="6"/>
      <c r="D116" s="6"/>
      <c r="E116" s="6"/>
      <c r="F116" s="6"/>
      <c r="G116" s="6"/>
      <c r="H116" s="6"/>
      <c r="I116" s="6"/>
      <c r="J116" s="6"/>
      <c r="K116" s="6"/>
      <c r="L116" s="6"/>
      <c r="M116" s="6"/>
      <c r="N116" s="6"/>
      <c r="O116" s="6"/>
      <c r="P116" s="6"/>
      <c r="Q116" s="6"/>
      <c r="R116" s="6"/>
      <c r="S116" s="6"/>
      <c r="T116" s="6"/>
      <c r="U116" s="6"/>
      <c r="V116" s="6"/>
      <c r="W116" s="6"/>
      <c r="AA116" s="29" t="str">
        <f>'Domestic Mobile Operations'!A84</f>
        <v>Estimated mobile data traffic growth (YoY)</v>
      </c>
      <c r="AB116" s="31">
        <f>IFERROR(INDEX('Domestic Mobile Operations'!$A:$AAZ,MATCH($AA116,'Domestic Mobile Operations'!$A:$A,0),MATCH(AB115,'Domestic Mobile Operations'!$1:$1,0)),"")</f>
        <v>0.48815190320586432</v>
      </c>
      <c r="AC116" s="31">
        <f>IFERROR(INDEX('Domestic Mobile Operations'!$A:$AAZ,MATCH($AA116,'Domestic Mobile Operations'!$A:$A,0),MATCH(AC115,'Domestic Mobile Operations'!$1:$1,0)),"")</f>
        <v>0.62247631132007308</v>
      </c>
      <c r="AD116" s="31">
        <f>IFERROR(INDEX('Domestic Mobile Operations'!$A:$AAZ,MATCH($AA116,'Domestic Mobile Operations'!$A:$A,0),MATCH(AD115,'Domestic Mobile Operations'!$1:$1,0)),"")</f>
        <v>0.32511246361156343</v>
      </c>
      <c r="AE116" s="31">
        <f>IFERROR(INDEX('Domestic Mobile Operations'!$A:$AAZ,MATCH($AA116,'Domestic Mobile Operations'!$A:$A,0),MATCH(AE115,'Domestic Mobile Operations'!$1:$1,0)),"")</f>
        <v>0.38363784042326809</v>
      </c>
      <c r="AF116" s="31">
        <f>IFERROR(INDEX('Domestic Mobile Operations'!$A:$AAZ,MATCH($AA116,'Domestic Mobile Operations'!$A:$A,0),MATCH(AF115,'Domestic Mobile Operations'!$1:$1,0)),"")</f>
        <v>0.29645268831175042</v>
      </c>
      <c r="AG116" s="31">
        <f>IFERROR(INDEX('Domestic Mobile Operations'!$A:$AAZ,MATCH($AA116,'Domestic Mobile Operations'!$A:$A,0),MATCH(AG115,'Domestic Mobile Operations'!$1:$1,0)),"")</f>
        <v>0.16472544660934929</v>
      </c>
      <c r="AH116" s="31">
        <f>IFERROR(INDEX('Domestic Mobile Operations'!$A:$AAZ,MATCH($AA116,'Domestic Mobile Operations'!$A:$A,0),MATCH(AH115,'Domestic Mobile Operations'!$1:$1,0)),"")</f>
        <v>0.30763425781947329</v>
      </c>
      <c r="AI116" s="31">
        <f>IFERROR(INDEX('Domestic Mobile Operations'!$A:$AAZ,MATCH($AA116,'Domestic Mobile Operations'!$A:$A,0),MATCH(AI115,'Domestic Mobile Operations'!$1:$1,0)),"")</f>
        <v>0.23454902866594396</v>
      </c>
      <c r="AJ116" s="31">
        <f>IFERROR(INDEX('Domestic Mobile Operations'!$A:$AAZ,MATCH($AA116,'Domestic Mobile Operations'!$A:$A,0),MATCH(AJ115,'Domestic Mobile Operations'!$1:$1,0)),"")</f>
        <v>0.15611886419576093</v>
      </c>
      <c r="AK116" s="31">
        <f>IFERROR(INDEX('Domestic Mobile Operations'!$A:$AAZ,MATCH($AA116,'Domestic Mobile Operations'!$A:$A,0),MATCH(AK115,'Domestic Mobile Operations'!$1:$1,0)),"")</f>
        <v>3.0174306264038497E-2</v>
      </c>
      <c r="AL116" s="31">
        <f>IFERROR(INDEX('Domestic Mobile Operations'!$A:$AAZ,MATCH($AA116,'Domestic Mobile Operations'!$A:$A,0),MATCH(AL115,'Domestic Mobile Operations'!$1:$1,0)),"")</f>
        <v>6.7806022058817694E-2</v>
      </c>
      <c r="AM116" s="31">
        <f>IFERROR(INDEX('Domestic Mobile Operations'!$A:$AAZ,MATCH($AA116,'Domestic Mobile Operations'!$A:$A,0),MATCH(AM115,'Domestic Mobile Operations'!$1:$1,0)),"")</f>
        <v>0.10236812779251303</v>
      </c>
      <c r="AN116" s="31">
        <f>IFERROR(INDEX('Domestic Mobile Operations'!$A:$AAZ,MATCH($AA116,'Domestic Mobile Operations'!$A:$A,0),MATCH(AN115,'Domestic Mobile Operations'!$1:$1,0)),"")</f>
        <v>5.5379854870373446E-2</v>
      </c>
      <c r="AO116" s="31">
        <f>IFERROR(INDEX('Domestic Mobile Operations'!$A:$AAZ,MATCH($AA116,'Domestic Mobile Operations'!$A:$A,0),MATCH(AO115,'Domestic Mobile Operations'!$1:$1,0)),"")</f>
        <v>6.5746988466533374E-2</v>
      </c>
      <c r="AP116" s="31">
        <f>IFERROR(INDEX('Domestic Mobile Operations'!$A:$AAZ,MATCH($AA116,'Domestic Mobile Operations'!$A:$A,0),MATCH(AP115,'Domestic Mobile Operations'!$1:$1,0)),"")</f>
        <v>3.8819485228609674E-2</v>
      </c>
      <c r="AQ116" s="31">
        <f>IFERROR(INDEX('Domestic Mobile Operations'!$A:$AAZ,MATCH($AA116,'Domestic Mobile Operations'!$A:$A,0),MATCH(AQ115,'Domestic Mobile Operations'!$1:$1,0)),"")</f>
        <v>8.9766321005409822E-2</v>
      </c>
      <c r="AR116" s="31">
        <f>IFERROR(INDEX('Domestic Mobile Operations'!$A:$AAZ,MATCH($AA116,'Domestic Mobile Operations'!$A:$A,0),MATCH(AR115,'Domestic Mobile Operations'!$1:$1,0)),"")</f>
        <v>0.23925274971537425</v>
      </c>
      <c r="AS116" s="31">
        <f>IFERROR(INDEX('Domestic Mobile Operations'!$A:$AAZ,MATCH($AA116,'Domestic Mobile Operations'!$A:$A,0),MATCH(AS115,'Domestic Mobile Operations'!$1:$1,0)),"")</f>
        <v>0.21022616134262351</v>
      </c>
      <c r="AT116" s="31">
        <f>IFERROR(INDEX('Domestic Mobile Operations'!$A:$AAZ,MATCH($AA116,'Domestic Mobile Operations'!$A:$A,0),MATCH(AT115,'Domestic Mobile Operations'!$1:$1,0)),"")</f>
        <v>0.19355948806814371</v>
      </c>
      <c r="AU116" s="31">
        <f>IFERROR(INDEX('Domestic Mobile Operations'!$A:$AAZ,MATCH($AA116,'Domestic Mobile Operations'!$A:$A,0),MATCH(AU115,'Domestic Mobile Operations'!$1:$1,0)),"")</f>
        <v>0.17307878294675616</v>
      </c>
    </row>
    <row r="117" spans="1:47" x14ac:dyDescent="0.35">
      <c r="A117" s="6"/>
      <c r="B117" s="6"/>
      <c r="C117" s="6"/>
      <c r="D117" s="6"/>
      <c r="E117" s="6"/>
      <c r="F117" s="6"/>
      <c r="G117" s="6"/>
      <c r="H117" s="6"/>
      <c r="I117" s="6"/>
      <c r="J117" s="6"/>
      <c r="K117" s="6"/>
      <c r="L117" s="6"/>
      <c r="M117" s="6"/>
      <c r="N117" s="6"/>
      <c r="O117" s="6"/>
      <c r="P117" s="6"/>
      <c r="Q117" s="6"/>
      <c r="R117" s="6"/>
      <c r="S117" s="6"/>
      <c r="T117" s="6"/>
      <c r="U117" s="6"/>
      <c r="V117" s="6"/>
      <c r="W117" s="6"/>
    </row>
    <row r="118" spans="1:47" x14ac:dyDescent="0.35">
      <c r="A118" s="6"/>
      <c r="B118" s="6"/>
      <c r="C118" s="6"/>
      <c r="D118" s="6"/>
      <c r="E118" s="6"/>
      <c r="F118" s="6"/>
      <c r="G118" s="6"/>
      <c r="H118" s="6"/>
      <c r="I118" s="6"/>
      <c r="J118" s="6"/>
      <c r="K118" s="6"/>
      <c r="L118" s="6"/>
      <c r="M118" s="6"/>
      <c r="N118" s="6"/>
      <c r="O118" s="6"/>
      <c r="P118" s="6"/>
      <c r="Q118" s="6"/>
      <c r="R118" s="6"/>
      <c r="S118" s="6"/>
      <c r="T118" s="6"/>
      <c r="U118" s="6"/>
      <c r="V118" s="6"/>
      <c r="W118" s="6"/>
    </row>
    <row r="119" spans="1:47" x14ac:dyDescent="0.35">
      <c r="A119" s="6"/>
      <c r="B119" s="6"/>
      <c r="C119" s="6"/>
      <c r="D119" s="6"/>
      <c r="E119" s="6"/>
      <c r="F119" s="6"/>
      <c r="G119" s="6"/>
      <c r="H119" s="6"/>
      <c r="I119" s="6"/>
      <c r="J119" s="6"/>
      <c r="K119" s="6"/>
      <c r="L119" s="6"/>
      <c r="M119" s="6"/>
      <c r="N119" s="6"/>
      <c r="O119" s="6"/>
      <c r="P119" s="6"/>
      <c r="Q119" s="6"/>
      <c r="R119" s="6"/>
      <c r="S119" s="6"/>
      <c r="T119" s="6"/>
      <c r="U119" s="6"/>
      <c r="V119" s="6"/>
      <c r="W119" s="6"/>
    </row>
    <row r="120" spans="1:47" x14ac:dyDescent="0.35">
      <c r="A120" s="6"/>
      <c r="B120" s="6"/>
      <c r="C120" s="6"/>
      <c r="D120" s="6"/>
      <c r="E120" s="6"/>
      <c r="F120" s="6"/>
      <c r="G120" s="6"/>
      <c r="H120" s="6"/>
      <c r="I120" s="6"/>
      <c r="J120" s="6"/>
      <c r="K120" s="6"/>
      <c r="L120" s="6"/>
      <c r="M120" s="6"/>
      <c r="N120" s="6"/>
      <c r="O120" s="6"/>
      <c r="P120" s="6"/>
      <c r="Q120" s="6"/>
      <c r="R120" s="6"/>
      <c r="S120" s="6"/>
      <c r="T120" s="6"/>
      <c r="U120" s="6"/>
      <c r="V120" s="6"/>
      <c r="W120" s="6"/>
    </row>
    <row r="121" spans="1:47" x14ac:dyDescent="0.35">
      <c r="A121" s="6"/>
      <c r="B121" s="6"/>
      <c r="C121" s="6"/>
      <c r="D121" s="6"/>
      <c r="E121" s="6"/>
      <c r="F121" s="6"/>
      <c r="G121" s="6"/>
      <c r="H121" s="6"/>
      <c r="I121" s="6"/>
      <c r="J121" s="6"/>
      <c r="K121" s="6"/>
      <c r="L121" s="6"/>
      <c r="M121" s="6"/>
      <c r="N121" s="6"/>
      <c r="O121" s="6"/>
      <c r="P121" s="6"/>
      <c r="Q121" s="6"/>
      <c r="R121" s="6"/>
      <c r="S121" s="6"/>
      <c r="T121" s="6"/>
      <c r="U121" s="6"/>
      <c r="V121" s="6"/>
      <c r="W121" s="6"/>
    </row>
    <row r="122" spans="1:47" x14ac:dyDescent="0.35">
      <c r="A122" s="6"/>
      <c r="B122" s="6"/>
      <c r="C122" s="6"/>
      <c r="D122" s="6"/>
      <c r="E122" s="6"/>
      <c r="F122" s="6"/>
      <c r="G122" s="6"/>
      <c r="H122" s="6"/>
      <c r="I122" s="6"/>
      <c r="J122" s="6"/>
      <c r="K122" s="6"/>
      <c r="L122" s="6"/>
      <c r="M122" s="6"/>
      <c r="N122" s="6"/>
      <c r="O122" s="6"/>
      <c r="P122" s="6"/>
      <c r="Q122" s="6"/>
      <c r="R122" s="6"/>
      <c r="S122" s="6"/>
      <c r="T122" s="6"/>
      <c r="U122" s="6"/>
      <c r="V122" s="6"/>
      <c r="W122" s="6"/>
    </row>
    <row r="123" spans="1:47" x14ac:dyDescent="0.35">
      <c r="A123" s="1" t="s">
        <v>29</v>
      </c>
      <c r="B123" s="1" t="s">
        <v>179</v>
      </c>
      <c r="C123" s="1"/>
      <c r="D123" s="1"/>
      <c r="E123" s="1"/>
      <c r="F123" s="1"/>
      <c r="G123" s="1"/>
      <c r="H123" s="1"/>
      <c r="I123" s="1"/>
      <c r="J123" s="1"/>
      <c r="K123" s="1" t="s">
        <v>30</v>
      </c>
      <c r="L123" s="1" t="s">
        <v>182</v>
      </c>
      <c r="M123" s="1"/>
      <c r="N123" s="1"/>
      <c r="O123" s="1"/>
      <c r="P123" s="1"/>
      <c r="Q123" s="1"/>
      <c r="R123" s="1"/>
      <c r="S123" s="1"/>
      <c r="T123" s="1"/>
      <c r="U123" s="6"/>
      <c r="V123" s="6"/>
      <c r="W123" s="6"/>
    </row>
    <row r="124" spans="1:47" x14ac:dyDescent="0.35">
      <c r="A124" s="6"/>
      <c r="B124" s="6"/>
      <c r="C124" s="6"/>
      <c r="D124" s="6"/>
      <c r="E124" s="6"/>
      <c r="F124" s="6"/>
      <c r="G124" s="6"/>
      <c r="H124" s="6"/>
      <c r="I124" s="6"/>
      <c r="J124" s="6"/>
      <c r="K124" s="6"/>
      <c r="L124" s="6"/>
      <c r="M124" s="6"/>
      <c r="N124" s="6"/>
      <c r="O124" s="6"/>
      <c r="P124" s="6"/>
      <c r="Q124" s="6"/>
      <c r="R124" s="6"/>
      <c r="S124" s="6"/>
      <c r="T124" s="6"/>
      <c r="U124" s="6"/>
      <c r="V124" s="6"/>
      <c r="W124" s="6"/>
    </row>
    <row r="125" spans="1:47" x14ac:dyDescent="0.35">
      <c r="A125" s="6"/>
      <c r="B125" s="6"/>
      <c r="C125" s="6"/>
      <c r="D125" s="6"/>
      <c r="E125" s="6"/>
      <c r="F125" s="6"/>
      <c r="G125" s="6"/>
      <c r="H125" s="6"/>
      <c r="I125" s="6"/>
      <c r="J125" s="6"/>
      <c r="K125" s="6"/>
      <c r="L125" s="6"/>
      <c r="M125" s="6"/>
      <c r="N125" s="6"/>
      <c r="O125" s="6"/>
      <c r="P125" s="6"/>
      <c r="Q125" s="6"/>
      <c r="R125" s="6"/>
      <c r="S125" s="6"/>
      <c r="T125" s="6"/>
      <c r="U125" s="6"/>
      <c r="V125" s="6"/>
      <c r="W125" s="6"/>
    </row>
    <row r="126" spans="1:47" x14ac:dyDescent="0.35">
      <c r="A126" s="6"/>
      <c r="B126" s="6"/>
      <c r="C126" s="6"/>
      <c r="D126" s="6"/>
      <c r="E126" s="6"/>
      <c r="F126" s="6"/>
      <c r="G126" s="6"/>
      <c r="H126" s="6"/>
      <c r="I126" s="6"/>
      <c r="J126" s="6"/>
      <c r="K126" s="6"/>
      <c r="L126" s="6"/>
      <c r="M126" s="6"/>
      <c r="N126" s="6"/>
      <c r="O126" s="6"/>
      <c r="P126" s="6"/>
      <c r="Q126" s="6"/>
      <c r="R126" s="6"/>
      <c r="S126" s="6"/>
      <c r="T126" s="6"/>
      <c r="U126" s="6"/>
      <c r="V126" s="6"/>
      <c r="W126" s="6"/>
      <c r="AB126" s="27">
        <f t="shared" ref="AB126" si="199">AC126-1</f>
        <v>33</v>
      </c>
      <c r="AC126" s="27">
        <f t="shared" ref="AC126" si="200">AD126-1</f>
        <v>34</v>
      </c>
      <c r="AD126" s="27">
        <f t="shared" ref="AD126" si="201">AE126-1</f>
        <v>35</v>
      </c>
      <c r="AE126" s="27">
        <f t="shared" ref="AE126" si="202">AF126-1</f>
        <v>36</v>
      </c>
      <c r="AF126" s="27">
        <f t="shared" ref="AF126" si="203">AG126-1</f>
        <v>37</v>
      </c>
      <c r="AG126" s="27">
        <f t="shared" ref="AG126" si="204">AH126-1</f>
        <v>38</v>
      </c>
      <c r="AH126" s="27">
        <f t="shared" ref="AH126" si="205">AI126-1</f>
        <v>39</v>
      </c>
      <c r="AI126" s="27">
        <f t="shared" ref="AI126" si="206">AJ126-1</f>
        <v>40</v>
      </c>
      <c r="AJ126" s="27">
        <f t="shared" ref="AJ126" si="207">AK126-1</f>
        <v>41</v>
      </c>
      <c r="AK126" s="27">
        <f t="shared" ref="AK126" si="208">AL126-1</f>
        <v>42</v>
      </c>
      <c r="AL126" s="27">
        <f t="shared" ref="AL126" si="209">AM126-1</f>
        <v>43</v>
      </c>
      <c r="AM126" s="27">
        <f t="shared" ref="AM126" si="210">AN126-1</f>
        <v>44</v>
      </c>
      <c r="AN126" s="27">
        <f t="shared" ref="AN126" si="211">AO126-1</f>
        <v>45</v>
      </c>
      <c r="AO126" s="27">
        <f t="shared" ref="AO126" si="212">AP126-1</f>
        <v>46</v>
      </c>
      <c r="AP126" s="27">
        <f t="shared" ref="AP126" si="213">AQ126-1</f>
        <v>47</v>
      </c>
      <c r="AQ126" s="27">
        <f t="shared" ref="AQ126" si="214">AR126-1</f>
        <v>48</v>
      </c>
      <c r="AR126" s="27">
        <f t="shared" ref="AR126" si="215">AS126-1</f>
        <v>49</v>
      </c>
      <c r="AS126" s="27">
        <f t="shared" ref="AS126" si="216">AT126-1</f>
        <v>50</v>
      </c>
      <c r="AT126" s="27">
        <f>AU126-1</f>
        <v>51</v>
      </c>
      <c r="AU126" s="27">
        <f>VLOOKUP(AU127,Dates!$A:$D,2,FALSE)</f>
        <v>52</v>
      </c>
    </row>
    <row r="127" spans="1:47" x14ac:dyDescent="0.35">
      <c r="A127" s="6"/>
      <c r="B127" s="6"/>
      <c r="C127" s="6"/>
      <c r="D127" s="6"/>
      <c r="E127" s="6"/>
      <c r="F127" s="6"/>
      <c r="G127" s="6"/>
      <c r="H127" s="6"/>
      <c r="I127" s="6"/>
      <c r="J127" s="6"/>
      <c r="K127" s="6"/>
      <c r="L127" s="6"/>
      <c r="M127" s="6"/>
      <c r="N127" s="6"/>
      <c r="O127" s="6"/>
      <c r="P127" s="6"/>
      <c r="Q127" s="6"/>
      <c r="R127" s="6"/>
      <c r="S127" s="6"/>
      <c r="T127" s="6"/>
      <c r="U127" s="6"/>
      <c r="V127" s="6"/>
      <c r="W127" s="6"/>
      <c r="AB127" s="27" t="str">
        <f>IFERROR(VLOOKUP(AB126,Dates!$B:$D,3,FALSE),"")</f>
        <v>1Q20</v>
      </c>
      <c r="AC127" s="27" t="str">
        <f>IFERROR(VLOOKUP(AC126,Dates!$B:$D,3,FALSE),"")</f>
        <v>2Q20</v>
      </c>
      <c r="AD127" s="27" t="str">
        <f>IFERROR(VLOOKUP(AD126,Dates!$B:$D,3,FALSE),"")</f>
        <v>3Q20</v>
      </c>
      <c r="AE127" s="27" t="str">
        <f>IFERROR(VLOOKUP(AE126,Dates!$B:$D,3,FALSE),"")</f>
        <v>4Q20</v>
      </c>
      <c r="AF127" s="27" t="str">
        <f>IFERROR(VLOOKUP(AF126,Dates!$B:$D,3,FALSE),"")</f>
        <v>1Q21</v>
      </c>
      <c r="AG127" s="27" t="str">
        <f>IFERROR(VLOOKUP(AG126,Dates!$B:$D,3,FALSE),"")</f>
        <v>2Q21</v>
      </c>
      <c r="AH127" s="27" t="str">
        <f>IFERROR(VLOOKUP(AH126,Dates!$B:$D,3,FALSE),"")</f>
        <v>3Q21</v>
      </c>
      <c r="AI127" s="27" t="str">
        <f>IFERROR(VLOOKUP(AI126,Dates!$B:$D,3,FALSE),"")</f>
        <v>4Q21</v>
      </c>
      <c r="AJ127" s="27" t="str">
        <f>IFERROR(VLOOKUP(AJ126,Dates!$B:$D,3,FALSE),"")</f>
        <v>1Q22</v>
      </c>
      <c r="AK127" s="27" t="str">
        <f>IFERROR(VLOOKUP(AK126,Dates!$B:$D,3,FALSE),"")</f>
        <v>2Q22</v>
      </c>
      <c r="AL127" s="27" t="str">
        <f>IFERROR(VLOOKUP(AL126,Dates!$B:$D,3,FALSE),"")</f>
        <v>3Q22</v>
      </c>
      <c r="AM127" s="27" t="str">
        <f>IFERROR(VLOOKUP(AM126,Dates!$B:$D,3,FALSE),"")</f>
        <v>4Q22</v>
      </c>
      <c r="AN127" s="27" t="str">
        <f>IFERROR(VLOOKUP(AN126,Dates!$B:$D,3,FALSE),"")</f>
        <v>1Q23</v>
      </c>
      <c r="AO127" s="27" t="str">
        <f>IFERROR(VLOOKUP(AO126,Dates!$B:$D,3,FALSE),"")</f>
        <v>2Q23</v>
      </c>
      <c r="AP127" s="27" t="str">
        <f>IFERROR(VLOOKUP(AP126,Dates!$B:$D,3,FALSE),"")</f>
        <v>3Q23</v>
      </c>
      <c r="AQ127" s="27" t="str">
        <f>IFERROR(VLOOKUP(AQ126,Dates!$B:$D,3,FALSE),"")</f>
        <v>4Q23</v>
      </c>
      <c r="AR127" s="27" t="str">
        <f>IFERROR(VLOOKUP(AR126,Dates!$B:$D,3,FALSE),"")</f>
        <v>1Q24</v>
      </c>
      <c r="AS127" s="27" t="str">
        <f>IFERROR(VLOOKUP(AS126,Dates!$B:$D,3,FALSE),"")</f>
        <v>2Q24</v>
      </c>
      <c r="AT127" s="27" t="str">
        <f>IFERROR(VLOOKUP(AT126,Dates!$B:$D,3,FALSE),"")</f>
        <v>3Q24</v>
      </c>
      <c r="AU127" s="28" t="str">
        <f>$G$3</f>
        <v>4Q24</v>
      </c>
    </row>
    <row r="128" spans="1:47" x14ac:dyDescent="0.35">
      <c r="A128" s="6"/>
      <c r="B128" s="6"/>
      <c r="C128" s="6"/>
      <c r="D128" s="6"/>
      <c r="E128" s="6"/>
      <c r="F128" s="6"/>
      <c r="G128" s="6"/>
      <c r="H128" s="6"/>
      <c r="I128" s="6"/>
      <c r="J128" s="6"/>
      <c r="K128" s="6"/>
      <c r="L128" s="6"/>
      <c r="M128" s="6"/>
      <c r="N128" s="6"/>
      <c r="O128" s="6"/>
      <c r="P128" s="6"/>
      <c r="Q128" s="6"/>
      <c r="R128" s="6"/>
      <c r="S128" s="6"/>
      <c r="T128" s="6"/>
      <c r="U128" s="6"/>
      <c r="V128" s="6"/>
      <c r="W128" s="6"/>
      <c r="AA128" s="29" t="str">
        <f>'Domestic Mobile Operations'!A38</f>
        <v>Usage per Sub</v>
      </c>
      <c r="AB128" s="30">
        <f>IFERROR(INDEX('Domestic Mobile Operations'!$A:$AAZ,MATCH($AA128,'Domestic Mobile Operations'!$A:$A,0),MATCH(AB127,'Domestic Mobile Operations'!$1:$1,0)),"")</f>
        <v>16.809999999999999</v>
      </c>
      <c r="AC128" s="30">
        <f>IFERROR(INDEX('Domestic Mobile Operations'!$A:$AAZ,MATCH($AA128,'Domestic Mobile Operations'!$A:$A,0),MATCH(AC127,'Domestic Mobile Operations'!$1:$1,0)),"")</f>
        <v>21.07</v>
      </c>
      <c r="AD128" s="30">
        <f>IFERROR(INDEX('Domestic Mobile Operations'!$A:$AAZ,MATCH($AA128,'Domestic Mobile Operations'!$A:$A,0),MATCH(AD127,'Domestic Mobile Operations'!$1:$1,0)),"")</f>
        <v>19.489999999999998</v>
      </c>
      <c r="AE128" s="30">
        <f>IFERROR(INDEX('Domestic Mobile Operations'!$A:$AAZ,MATCH($AA128,'Domestic Mobile Operations'!$A:$A,0),MATCH(AE127,'Domestic Mobile Operations'!$1:$1,0)),"")</f>
        <v>20.75</v>
      </c>
      <c r="AF128" s="30">
        <f>IFERROR(INDEX('Domestic Mobile Operations'!$A:$AAZ,MATCH($AA128,'Domestic Mobile Operations'!$A:$A,0),MATCH(AF127,'Domestic Mobile Operations'!$1:$1,0)),"")</f>
        <v>21.58</v>
      </c>
      <c r="AG128" s="30">
        <f>IFERROR(INDEX('Domestic Mobile Operations'!$A:$AAZ,MATCH($AA128,'Domestic Mobile Operations'!$A:$A,0),MATCH(AG127,'Domestic Mobile Operations'!$1:$1,0)),"")</f>
        <v>24.4</v>
      </c>
      <c r="AH128" s="30">
        <f>IFERROR(INDEX('Domestic Mobile Operations'!$A:$AAZ,MATCH($AA128,'Domestic Mobile Operations'!$A:$A,0),MATCH(AH127,'Domestic Mobile Operations'!$1:$1,0)),"")</f>
        <v>24.97</v>
      </c>
      <c r="AI128" s="30">
        <f>IFERROR(INDEX('Domestic Mobile Operations'!$A:$AAZ,MATCH($AA128,'Domestic Mobile Operations'!$A:$A,0),MATCH(AI127,'Domestic Mobile Operations'!$1:$1,0)),"")</f>
        <v>24.4</v>
      </c>
      <c r="AJ128" s="30">
        <f>IFERROR(INDEX('Domestic Mobile Operations'!$A:$AAZ,MATCH($AA128,'Domestic Mobile Operations'!$A:$A,0),MATCH(AJ127,'Domestic Mobile Operations'!$1:$1,0)),"")</f>
        <v>24.2</v>
      </c>
      <c r="AK128" s="30">
        <f>IFERROR(INDEX('Domestic Mobile Operations'!$A:$AAZ,MATCH($AA128,'Domestic Mobile Operations'!$A:$A,0),MATCH(AK127,'Domestic Mobile Operations'!$1:$1,0)),"")</f>
        <v>24.9</v>
      </c>
      <c r="AL128" s="30">
        <f>IFERROR(INDEX('Domestic Mobile Operations'!$A:$AAZ,MATCH($AA128,'Domestic Mobile Operations'!$A:$A,0),MATCH(AL127,'Domestic Mobile Operations'!$1:$1,0)),"")</f>
        <v>26.3</v>
      </c>
      <c r="AM128" s="30">
        <f>IFERROR(INDEX('Domestic Mobile Operations'!$A:$AAZ,MATCH($AA128,'Domestic Mobile Operations'!$A:$A,0),MATCH(AM127,'Domestic Mobile Operations'!$1:$1,0)),"")</f>
        <v>26.6</v>
      </c>
      <c r="AN128" s="30">
        <f>IFERROR(INDEX('Domestic Mobile Operations'!$A:$AAZ,MATCH($AA128,'Domestic Mobile Operations'!$A:$A,0),MATCH(AN127,'Domestic Mobile Operations'!$1:$1,0)),"")</f>
        <v>25.2</v>
      </c>
      <c r="AO128" s="30">
        <f>IFERROR(INDEX('Domestic Mobile Operations'!$A:$AAZ,MATCH($AA128,'Domestic Mobile Operations'!$A:$A,0),MATCH(AO127,'Domestic Mobile Operations'!$1:$1,0)),"")</f>
        <v>26.1</v>
      </c>
      <c r="AP128" s="30">
        <f>IFERROR(INDEX('Domestic Mobile Operations'!$A:$AAZ,MATCH($AA128,'Domestic Mobile Operations'!$A:$A,0),MATCH(AP127,'Domestic Mobile Operations'!$1:$1,0)),"")</f>
        <v>26.9</v>
      </c>
      <c r="AQ128" s="30">
        <f>IFERROR(INDEX('Domestic Mobile Operations'!$A:$AAZ,MATCH($AA128,'Domestic Mobile Operations'!$A:$A,0),MATCH(AQ127,'Domestic Mobile Operations'!$1:$1,0)),"")</f>
        <v>27.8</v>
      </c>
      <c r="AR128" s="30">
        <f>IFERROR(INDEX('Domestic Mobile Operations'!$A:$AAZ,MATCH($AA128,'Domestic Mobile Operations'!$A:$A,0),MATCH(AR127,'Domestic Mobile Operations'!$1:$1,0)),"")</f>
        <v>29.5</v>
      </c>
      <c r="AS128" s="30">
        <f>IFERROR(INDEX('Domestic Mobile Operations'!$A:$AAZ,MATCH($AA128,'Domestic Mobile Operations'!$A:$A,0),MATCH(AS127,'Domestic Mobile Operations'!$1:$1,0)),"")</f>
        <v>29.7</v>
      </c>
      <c r="AT128" s="30">
        <f>IFERROR(INDEX('Domestic Mobile Operations'!$A:$AAZ,MATCH($AA128,'Domestic Mobile Operations'!$A:$A,0),MATCH(AT127,'Domestic Mobile Operations'!$1:$1,0)),"")</f>
        <v>30.1</v>
      </c>
      <c r="AU128" s="30">
        <f>IFERROR(INDEX('Domestic Mobile Operations'!$A:$AAZ,MATCH($AA128,'Domestic Mobile Operations'!$A:$A,0),MATCH(AU127,'Domestic Mobile Operations'!$1:$1,0)),"")</f>
        <v>31.3</v>
      </c>
    </row>
    <row r="129" spans="1:47" x14ac:dyDescent="0.35">
      <c r="A129" s="6"/>
      <c r="B129" s="6"/>
      <c r="C129" s="6"/>
      <c r="D129" s="6"/>
      <c r="E129" s="6"/>
      <c r="F129" s="6"/>
      <c r="G129" s="6"/>
      <c r="H129" s="6"/>
      <c r="I129" s="6"/>
      <c r="J129" s="6"/>
      <c r="K129" s="6"/>
      <c r="L129" s="6"/>
      <c r="M129" s="6"/>
      <c r="N129" s="6"/>
      <c r="O129" s="6"/>
      <c r="P129" s="6"/>
      <c r="Q129" s="6"/>
      <c r="R129" s="6"/>
      <c r="S129" s="6"/>
      <c r="T129" s="6"/>
      <c r="U129" s="6"/>
      <c r="V129" s="6"/>
      <c r="W129" s="6"/>
      <c r="AA129" s="29" t="str">
        <f>'Domestic Mobile Operations'!A39</f>
        <v>Prepaid</v>
      </c>
      <c r="AB129" s="30">
        <f>IFERROR(INDEX('Domestic Mobile Operations'!$A:$AAZ,MATCH($AA129,'Domestic Mobile Operations'!$A:$A,0),MATCH(AB127,'Domestic Mobile Operations'!$1:$1,0)),"")</f>
        <v>16.89</v>
      </c>
      <c r="AC129" s="30">
        <f>IFERROR(INDEX('Domestic Mobile Operations'!$A:$AAZ,MATCH($AA129,'Domestic Mobile Operations'!$A:$A,0),MATCH(AC127,'Domestic Mobile Operations'!$1:$1,0)),"")</f>
        <v>22.53</v>
      </c>
      <c r="AD129" s="30">
        <f>IFERROR(INDEX('Domestic Mobile Operations'!$A:$AAZ,MATCH($AA129,'Domestic Mobile Operations'!$A:$A,0),MATCH(AD127,'Domestic Mobile Operations'!$1:$1,0)),"")</f>
        <v>19.07</v>
      </c>
      <c r="AE129" s="30">
        <f>IFERROR(INDEX('Domestic Mobile Operations'!$A:$AAZ,MATCH($AA129,'Domestic Mobile Operations'!$A:$A,0),MATCH(AE127,'Domestic Mobile Operations'!$1:$1,0)),"")</f>
        <v>19.29</v>
      </c>
      <c r="AF129" s="30">
        <f>IFERROR(INDEX('Domestic Mobile Operations'!$A:$AAZ,MATCH($AA129,'Domestic Mobile Operations'!$A:$A,0),MATCH(AF127,'Domestic Mobile Operations'!$1:$1,0)),"")</f>
        <v>20.89</v>
      </c>
      <c r="AG129" s="30">
        <f>IFERROR(INDEX('Domestic Mobile Operations'!$A:$AAZ,MATCH($AA129,'Domestic Mobile Operations'!$A:$A,0),MATCH(AG127,'Domestic Mobile Operations'!$1:$1,0)),"")</f>
        <v>23.72</v>
      </c>
      <c r="AH129" s="30">
        <f>IFERROR(INDEX('Domestic Mobile Operations'!$A:$AAZ,MATCH($AA129,'Domestic Mobile Operations'!$A:$A,0),MATCH(AH127,'Domestic Mobile Operations'!$1:$1,0)),"")</f>
        <v>23.21</v>
      </c>
      <c r="AI129" s="30">
        <f>IFERROR(INDEX('Domestic Mobile Operations'!$A:$AAZ,MATCH($AA129,'Domestic Mobile Operations'!$A:$A,0),MATCH(AI127,'Domestic Mobile Operations'!$1:$1,0)),"")</f>
        <v>22.6</v>
      </c>
      <c r="AJ129" s="30">
        <f>IFERROR(INDEX('Domestic Mobile Operations'!$A:$AAZ,MATCH($AA129,'Domestic Mobile Operations'!$A:$A,0),MATCH(AJ127,'Domestic Mobile Operations'!$1:$1,0)),"")</f>
        <v>22.3</v>
      </c>
      <c r="AK129" s="30">
        <f>IFERROR(INDEX('Domestic Mobile Operations'!$A:$AAZ,MATCH($AA129,'Domestic Mobile Operations'!$A:$A,0),MATCH(AK127,'Domestic Mobile Operations'!$1:$1,0)),"")</f>
        <v>23.2</v>
      </c>
      <c r="AL129" s="30">
        <f>IFERROR(INDEX('Domestic Mobile Operations'!$A:$AAZ,MATCH($AA129,'Domestic Mobile Operations'!$A:$A,0),MATCH(AL127,'Domestic Mobile Operations'!$1:$1,0)),"")</f>
        <v>24.6</v>
      </c>
      <c r="AM129" s="30">
        <f>IFERROR(INDEX('Domestic Mobile Operations'!$A:$AAZ,MATCH($AA129,'Domestic Mobile Operations'!$A:$A,0),MATCH(AM127,'Domestic Mobile Operations'!$1:$1,0)),"")</f>
        <v>24.9</v>
      </c>
      <c r="AN129" s="30">
        <f>IFERROR(INDEX('Domestic Mobile Operations'!$A:$AAZ,MATCH($AA129,'Domestic Mobile Operations'!$A:$A,0),MATCH(AN127,'Domestic Mobile Operations'!$1:$1,0)),"")</f>
        <v>23.7</v>
      </c>
      <c r="AO129" s="30">
        <f>IFERROR(INDEX('Domestic Mobile Operations'!$A:$AAZ,MATCH($AA129,'Domestic Mobile Operations'!$A:$A,0),MATCH(AO127,'Domestic Mobile Operations'!$1:$1,0)),"")</f>
        <v>24.7</v>
      </c>
      <c r="AP129" s="30">
        <f>IFERROR(INDEX('Domestic Mobile Operations'!$A:$AAZ,MATCH($AA129,'Domestic Mobile Operations'!$A:$A,0),MATCH(AP127,'Domestic Mobile Operations'!$1:$1,0)),"")</f>
        <v>25.2</v>
      </c>
      <c r="AQ129" s="30">
        <f>IFERROR(INDEX('Domestic Mobile Operations'!$A:$AAZ,MATCH($AA129,'Domestic Mobile Operations'!$A:$A,0),MATCH(AQ127,'Domestic Mobile Operations'!$1:$1,0)),"")</f>
        <v>26.2</v>
      </c>
      <c r="AR129" s="30">
        <f>IFERROR(INDEX('Domestic Mobile Operations'!$A:$AAZ,MATCH($AA129,'Domestic Mobile Operations'!$A:$A,0),MATCH(AR127,'Domestic Mobile Operations'!$1:$1,0)),"")</f>
        <v>27.9</v>
      </c>
      <c r="AS129" s="30">
        <f>IFERROR(INDEX('Domestic Mobile Operations'!$A:$AAZ,MATCH($AA129,'Domestic Mobile Operations'!$A:$A,0),MATCH(AS127,'Domestic Mobile Operations'!$1:$1,0)),"")</f>
        <v>27.9</v>
      </c>
      <c r="AT129" s="30">
        <f>IFERROR(INDEX('Domestic Mobile Operations'!$A:$AAZ,MATCH($AA129,'Domestic Mobile Operations'!$A:$A,0),MATCH(AT127,'Domestic Mobile Operations'!$1:$1,0)),"")</f>
        <v>28.2</v>
      </c>
      <c r="AU129" s="30">
        <f>IFERROR(INDEX('Domestic Mobile Operations'!$A:$AAZ,MATCH($AA129,'Domestic Mobile Operations'!$A:$A,0),MATCH(AU127,'Domestic Mobile Operations'!$1:$1,0)),"")</f>
        <v>29.5</v>
      </c>
    </row>
    <row r="130" spans="1:47" x14ac:dyDescent="0.35">
      <c r="A130" s="6"/>
      <c r="B130" s="6"/>
      <c r="C130" s="6"/>
      <c r="D130" s="6"/>
      <c r="E130" s="6"/>
      <c r="F130" s="6"/>
      <c r="G130" s="6"/>
      <c r="H130" s="6"/>
      <c r="I130" s="6"/>
      <c r="J130" s="6"/>
      <c r="K130" s="6"/>
      <c r="L130" s="6"/>
      <c r="M130" s="6"/>
      <c r="N130" s="6"/>
      <c r="O130" s="6"/>
      <c r="P130" s="6"/>
      <c r="Q130" s="6"/>
      <c r="R130" s="6"/>
      <c r="S130" s="6"/>
      <c r="T130" s="6"/>
      <c r="U130" s="6"/>
      <c r="V130" s="6"/>
      <c r="W130" s="6"/>
      <c r="AA130" s="29" t="str">
        <f>'Domestic Mobile Operations'!A40</f>
        <v>Postpaid</v>
      </c>
      <c r="AB130" s="30">
        <f>IFERROR(INDEX('Domestic Mobile Operations'!$A:$AAZ,MATCH($AA130,'Domestic Mobile Operations'!$A:$A,0),MATCH(AB127,'Domestic Mobile Operations'!$1:$1,0)),"")</f>
        <v>16.68</v>
      </c>
      <c r="AC130" s="30">
        <f>IFERROR(INDEX('Domestic Mobile Operations'!$A:$AAZ,MATCH($AA130,'Domestic Mobile Operations'!$A:$A,0),MATCH(AC127,'Domestic Mobile Operations'!$1:$1,0)),"")</f>
        <v>18.62</v>
      </c>
      <c r="AD130" s="30">
        <f>IFERROR(INDEX('Domestic Mobile Operations'!$A:$AAZ,MATCH($AA130,'Domestic Mobile Operations'!$A:$A,0),MATCH(AD127,'Domestic Mobile Operations'!$1:$1,0)),"")</f>
        <v>20.21</v>
      </c>
      <c r="AE130" s="30">
        <f>IFERROR(INDEX('Domestic Mobile Operations'!$A:$AAZ,MATCH($AA130,'Domestic Mobile Operations'!$A:$A,0),MATCH(AE127,'Domestic Mobile Operations'!$1:$1,0)),"")</f>
        <v>23.33</v>
      </c>
      <c r="AF130" s="30">
        <f>IFERROR(INDEX('Domestic Mobile Operations'!$A:$AAZ,MATCH($AA130,'Domestic Mobile Operations'!$A:$A,0),MATCH(AF127,'Domestic Mobile Operations'!$1:$1,0)),"")</f>
        <v>22.81</v>
      </c>
      <c r="AG130" s="30">
        <f>IFERROR(INDEX('Domestic Mobile Operations'!$A:$AAZ,MATCH($AA130,'Domestic Mobile Operations'!$A:$A,0),MATCH(AG127,'Domestic Mobile Operations'!$1:$1,0)),"")</f>
        <v>25.59</v>
      </c>
      <c r="AH130" s="30">
        <f>IFERROR(INDEX('Domestic Mobile Operations'!$A:$AAZ,MATCH($AA130,'Domestic Mobile Operations'!$A:$A,0),MATCH(AH127,'Domestic Mobile Operations'!$1:$1,0)),"")</f>
        <v>28.04</v>
      </c>
      <c r="AI130" s="30">
        <f>IFERROR(INDEX('Domestic Mobile Operations'!$A:$AAZ,MATCH($AA130,'Domestic Mobile Operations'!$A:$A,0),MATCH(AI127,'Domestic Mobile Operations'!$1:$1,0)),"")</f>
        <v>27.4</v>
      </c>
      <c r="AJ130" s="30">
        <f>IFERROR(INDEX('Domestic Mobile Operations'!$A:$AAZ,MATCH($AA130,'Domestic Mobile Operations'!$A:$A,0),MATCH(AJ127,'Domestic Mobile Operations'!$1:$1,0)),"")</f>
        <v>27.2</v>
      </c>
      <c r="AK130" s="30">
        <f>IFERROR(INDEX('Domestic Mobile Operations'!$A:$AAZ,MATCH($AA130,'Domestic Mobile Operations'!$A:$A,0),MATCH(AK127,'Domestic Mobile Operations'!$1:$1,0)),"")</f>
        <v>27.9</v>
      </c>
      <c r="AL130" s="30">
        <f>IFERROR(INDEX('Domestic Mobile Operations'!$A:$AAZ,MATCH($AA130,'Domestic Mobile Operations'!$A:$A,0),MATCH(AL127,'Domestic Mobile Operations'!$1:$1,0)),"")</f>
        <v>29.1</v>
      </c>
      <c r="AM130" s="30">
        <f>IFERROR(INDEX('Domestic Mobile Operations'!$A:$AAZ,MATCH($AA130,'Domestic Mobile Operations'!$A:$A,0),MATCH(AM127,'Domestic Mobile Operations'!$1:$1,0)),"")</f>
        <v>29.3</v>
      </c>
      <c r="AN130" s="30">
        <f>IFERROR(INDEX('Domestic Mobile Operations'!$A:$AAZ,MATCH($AA130,'Domestic Mobile Operations'!$A:$A,0),MATCH(AN127,'Domestic Mobile Operations'!$1:$1,0)),"")</f>
        <v>27.5</v>
      </c>
      <c r="AO130" s="30">
        <f>IFERROR(INDEX('Domestic Mobile Operations'!$A:$AAZ,MATCH($AA130,'Domestic Mobile Operations'!$A:$A,0),MATCH(AO127,'Domestic Mobile Operations'!$1:$1,0)),"")</f>
        <v>28.4</v>
      </c>
      <c r="AP130" s="30">
        <f>IFERROR(INDEX('Domestic Mobile Operations'!$A:$AAZ,MATCH($AA130,'Domestic Mobile Operations'!$A:$A,0),MATCH(AP127,'Domestic Mobile Operations'!$1:$1,0)),"")</f>
        <v>29.5</v>
      </c>
      <c r="AQ130" s="30">
        <f>IFERROR(INDEX('Domestic Mobile Operations'!$A:$AAZ,MATCH($AA130,'Domestic Mobile Operations'!$A:$A,0),MATCH(AQ127,'Domestic Mobile Operations'!$1:$1,0)),"")</f>
        <v>30.4</v>
      </c>
      <c r="AR130" s="30">
        <f>IFERROR(INDEX('Domestic Mobile Operations'!$A:$AAZ,MATCH($AA130,'Domestic Mobile Operations'!$A:$A,0),MATCH(AR127,'Domestic Mobile Operations'!$1:$1,0)),"")</f>
        <v>32</v>
      </c>
      <c r="AS130" s="30">
        <f>IFERROR(INDEX('Domestic Mobile Operations'!$A:$AAZ,MATCH($AA130,'Domestic Mobile Operations'!$A:$A,0),MATCH(AS127,'Domestic Mobile Operations'!$1:$1,0)),"")</f>
        <v>32.5</v>
      </c>
      <c r="AT130" s="30">
        <f>IFERROR(INDEX('Domestic Mobile Operations'!$A:$AAZ,MATCH($AA130,'Domestic Mobile Operations'!$A:$A,0),MATCH(AT127,'Domestic Mobile Operations'!$1:$1,0)),"")</f>
        <v>32.799999999999997</v>
      </c>
      <c r="AU130" s="30">
        <f>IFERROR(INDEX('Domestic Mobile Operations'!$A:$AAZ,MATCH($AA130,'Domestic Mobile Operations'!$A:$A,0),MATCH(AU127,'Domestic Mobile Operations'!$1:$1,0)),"")</f>
        <v>33.799999999999997</v>
      </c>
    </row>
    <row r="131" spans="1:47" x14ac:dyDescent="0.35">
      <c r="A131" s="6"/>
      <c r="B131" s="6"/>
      <c r="C131" s="6"/>
      <c r="D131" s="6"/>
      <c r="E131" s="6"/>
      <c r="F131" s="6"/>
      <c r="G131" s="6"/>
      <c r="H131" s="6"/>
      <c r="I131" s="6"/>
      <c r="J131" s="6"/>
      <c r="K131" s="6"/>
      <c r="L131" s="6"/>
      <c r="M131" s="6"/>
      <c r="N131" s="6"/>
      <c r="O131" s="6"/>
      <c r="P131" s="6"/>
      <c r="Q131" s="6"/>
      <c r="R131" s="6"/>
      <c r="S131" s="6"/>
      <c r="T131" s="6"/>
      <c r="U131" s="6"/>
      <c r="V131" s="6"/>
      <c r="W131" s="6"/>
    </row>
    <row r="132" spans="1:47" x14ac:dyDescent="0.35">
      <c r="A132" s="6"/>
      <c r="B132" s="6"/>
      <c r="C132" s="6"/>
      <c r="D132" s="6"/>
      <c r="E132" s="6"/>
      <c r="F132" s="6"/>
      <c r="G132" s="6"/>
      <c r="H132" s="6"/>
      <c r="I132" s="6"/>
      <c r="J132" s="6"/>
      <c r="K132" s="6"/>
      <c r="L132" s="6"/>
      <c r="M132" s="6"/>
      <c r="N132" s="6"/>
      <c r="O132" s="6"/>
      <c r="P132" s="6"/>
      <c r="Q132" s="6"/>
      <c r="R132" s="6"/>
      <c r="S132" s="6"/>
      <c r="T132" s="6"/>
      <c r="U132" s="6"/>
      <c r="V132" s="6"/>
      <c r="W132" s="6"/>
      <c r="AB132" s="27">
        <f t="shared" ref="AB132" si="217">AC132-1</f>
        <v>33</v>
      </c>
      <c r="AC132" s="27">
        <f t="shared" ref="AC132" si="218">AD132-1</f>
        <v>34</v>
      </c>
      <c r="AD132" s="27">
        <f t="shared" ref="AD132" si="219">AE132-1</f>
        <v>35</v>
      </c>
      <c r="AE132" s="27">
        <f t="shared" ref="AE132" si="220">AF132-1</f>
        <v>36</v>
      </c>
      <c r="AF132" s="27">
        <f t="shared" ref="AF132" si="221">AG132-1</f>
        <v>37</v>
      </c>
      <c r="AG132" s="27">
        <f t="shared" ref="AG132" si="222">AH132-1</f>
        <v>38</v>
      </c>
      <c r="AH132" s="27">
        <f t="shared" ref="AH132" si="223">AI132-1</f>
        <v>39</v>
      </c>
      <c r="AI132" s="27">
        <f t="shared" ref="AI132" si="224">AJ132-1</f>
        <v>40</v>
      </c>
      <c r="AJ132" s="27">
        <f t="shared" ref="AJ132" si="225">AK132-1</f>
        <v>41</v>
      </c>
      <c r="AK132" s="27">
        <f t="shared" ref="AK132" si="226">AL132-1</f>
        <v>42</v>
      </c>
      <c r="AL132" s="27">
        <f t="shared" ref="AL132" si="227">AM132-1</f>
        <v>43</v>
      </c>
      <c r="AM132" s="27">
        <f t="shared" ref="AM132" si="228">AN132-1</f>
        <v>44</v>
      </c>
      <c r="AN132" s="27">
        <f t="shared" ref="AN132" si="229">AO132-1</f>
        <v>45</v>
      </c>
      <c r="AO132" s="27">
        <f t="shared" ref="AO132" si="230">AP132-1</f>
        <v>46</v>
      </c>
      <c r="AP132" s="27">
        <f t="shared" ref="AP132" si="231">AQ132-1</f>
        <v>47</v>
      </c>
      <c r="AQ132" s="27">
        <f t="shared" ref="AQ132" si="232">AR132-1</f>
        <v>48</v>
      </c>
      <c r="AR132" s="27">
        <f t="shared" ref="AR132" si="233">AS132-1</f>
        <v>49</v>
      </c>
      <c r="AS132" s="27">
        <f t="shared" ref="AS132" si="234">AT132-1</f>
        <v>50</v>
      </c>
      <c r="AT132" s="27">
        <f>AU132-1</f>
        <v>51</v>
      </c>
      <c r="AU132" s="27">
        <f>VLOOKUP(AU133,Dates!$A:$D,2,FALSE)</f>
        <v>52</v>
      </c>
    </row>
    <row r="133" spans="1:47" x14ac:dyDescent="0.35">
      <c r="A133" s="6"/>
      <c r="B133" s="6"/>
      <c r="C133" s="6"/>
      <c r="D133" s="6"/>
      <c r="E133" s="6"/>
      <c r="F133" s="6"/>
      <c r="G133" s="6"/>
      <c r="H133" s="6"/>
      <c r="I133" s="6"/>
      <c r="J133" s="6"/>
      <c r="K133" s="6"/>
      <c r="L133" s="6"/>
      <c r="M133" s="6"/>
      <c r="N133" s="6"/>
      <c r="O133" s="6"/>
      <c r="P133" s="6"/>
      <c r="Q133" s="6"/>
      <c r="R133" s="6"/>
      <c r="S133" s="6"/>
      <c r="T133" s="6"/>
      <c r="U133" s="6"/>
      <c r="V133" s="6"/>
      <c r="W133" s="6"/>
      <c r="AB133" s="27" t="str">
        <f>IFERROR(VLOOKUP(AB132,Dates!$B:$D,3,FALSE),"")</f>
        <v>1Q20</v>
      </c>
      <c r="AC133" s="27" t="str">
        <f>IFERROR(VLOOKUP(AC132,Dates!$B:$D,3,FALSE),"")</f>
        <v>2Q20</v>
      </c>
      <c r="AD133" s="27" t="str">
        <f>IFERROR(VLOOKUP(AD132,Dates!$B:$D,3,FALSE),"")</f>
        <v>3Q20</v>
      </c>
      <c r="AE133" s="27" t="str">
        <f>IFERROR(VLOOKUP(AE132,Dates!$B:$D,3,FALSE),"")</f>
        <v>4Q20</v>
      </c>
      <c r="AF133" s="27" t="str">
        <f>IFERROR(VLOOKUP(AF132,Dates!$B:$D,3,FALSE),"")</f>
        <v>1Q21</v>
      </c>
      <c r="AG133" s="27" t="str">
        <f>IFERROR(VLOOKUP(AG132,Dates!$B:$D,3,FALSE),"")</f>
        <v>2Q21</v>
      </c>
      <c r="AH133" s="27" t="str">
        <f>IFERROR(VLOOKUP(AH132,Dates!$B:$D,3,FALSE),"")</f>
        <v>3Q21</v>
      </c>
      <c r="AI133" s="27" t="str">
        <f>IFERROR(VLOOKUP(AI132,Dates!$B:$D,3,FALSE),"")</f>
        <v>4Q21</v>
      </c>
      <c r="AJ133" s="27" t="str">
        <f>IFERROR(VLOOKUP(AJ132,Dates!$B:$D,3,FALSE),"")</f>
        <v>1Q22</v>
      </c>
      <c r="AK133" s="27" t="str">
        <f>IFERROR(VLOOKUP(AK132,Dates!$B:$D,3,FALSE),"")</f>
        <v>2Q22</v>
      </c>
      <c r="AL133" s="27" t="str">
        <f>IFERROR(VLOOKUP(AL132,Dates!$B:$D,3,FALSE),"")</f>
        <v>3Q22</v>
      </c>
      <c r="AM133" s="27" t="str">
        <f>IFERROR(VLOOKUP(AM132,Dates!$B:$D,3,FALSE),"")</f>
        <v>4Q22</v>
      </c>
      <c r="AN133" s="27" t="str">
        <f>IFERROR(VLOOKUP(AN132,Dates!$B:$D,3,FALSE),"")</f>
        <v>1Q23</v>
      </c>
      <c r="AO133" s="27" t="str">
        <f>IFERROR(VLOOKUP(AO132,Dates!$B:$D,3,FALSE),"")</f>
        <v>2Q23</v>
      </c>
      <c r="AP133" s="27" t="str">
        <f>IFERROR(VLOOKUP(AP132,Dates!$B:$D,3,FALSE),"")</f>
        <v>3Q23</v>
      </c>
      <c r="AQ133" s="27" t="str">
        <f>IFERROR(VLOOKUP(AQ132,Dates!$B:$D,3,FALSE),"")</f>
        <v>4Q23</v>
      </c>
      <c r="AR133" s="27" t="str">
        <f>IFERROR(VLOOKUP(AR132,Dates!$B:$D,3,FALSE),"")</f>
        <v>1Q24</v>
      </c>
      <c r="AS133" s="27" t="str">
        <f>IFERROR(VLOOKUP(AS132,Dates!$B:$D,3,FALSE),"")</f>
        <v>2Q24</v>
      </c>
      <c r="AT133" s="27" t="str">
        <f>IFERROR(VLOOKUP(AT132,Dates!$B:$D,3,FALSE),"")</f>
        <v>3Q24</v>
      </c>
      <c r="AU133" s="28" t="str">
        <f>$G$3</f>
        <v>4Q24</v>
      </c>
    </row>
    <row r="134" spans="1:47" x14ac:dyDescent="0.35">
      <c r="A134" s="6"/>
      <c r="B134" s="6"/>
      <c r="C134" s="6"/>
      <c r="D134" s="6"/>
      <c r="E134" s="6"/>
      <c r="F134" s="6"/>
      <c r="G134" s="6"/>
      <c r="H134" s="6"/>
      <c r="I134" s="6"/>
      <c r="J134" s="6"/>
      <c r="K134" s="6"/>
      <c r="L134" s="6"/>
      <c r="M134" s="6"/>
      <c r="N134" s="6"/>
      <c r="O134" s="6"/>
      <c r="P134" s="6"/>
      <c r="Q134" s="6"/>
      <c r="R134" s="6"/>
      <c r="S134" s="6"/>
      <c r="T134" s="6"/>
      <c r="U134" s="6"/>
      <c r="V134" s="6"/>
      <c r="W134" s="6"/>
      <c r="AA134" s="29" t="str">
        <f>'Domestic Mobile Operations'!A94</f>
        <v>Data usage</v>
      </c>
      <c r="AB134" s="30">
        <f>IFERROR(INDEX('Domestic Mobile Operations'!$A:$AAZ,MATCH($AA134,'Domestic Mobile Operations'!$A:$A,0),MATCH(AB133,'Domestic Mobile Operations'!$1:$1,0)),"")</f>
        <v>1366.6666666666665</v>
      </c>
      <c r="AC134" s="30">
        <f>IFERROR(INDEX('Domestic Mobile Operations'!$A:$AAZ,MATCH($AA134,'Domestic Mobile Operations'!$A:$A,0),MATCH(AC133,'Domestic Mobile Operations'!$1:$1,0)),"")</f>
        <v>1713.0081300813008</v>
      </c>
      <c r="AD134" s="30">
        <f>IFERROR(INDEX('Domestic Mobile Operations'!$A:$AAZ,MATCH($AA134,'Domestic Mobile Operations'!$A:$A,0),MATCH(AD133,'Domestic Mobile Operations'!$1:$1,0)),"")</f>
        <v>1584.5528455284552</v>
      </c>
      <c r="AE134" s="30">
        <f>IFERROR(INDEX('Domestic Mobile Operations'!$A:$AAZ,MATCH($AA134,'Domestic Mobile Operations'!$A:$A,0),MATCH(AE133,'Domestic Mobile Operations'!$1:$1,0)),"")</f>
        <v>1686.9918699186992</v>
      </c>
      <c r="AF134" s="30">
        <f>IFERROR(INDEX('Domestic Mobile Operations'!$A:$AAZ,MATCH($AA134,'Domestic Mobile Operations'!$A:$A,0),MATCH(AF133,'Domestic Mobile Operations'!$1:$1,0)),"")</f>
        <v>1754.471544715447</v>
      </c>
      <c r="AG134" s="30">
        <f>IFERROR(INDEX('Domestic Mobile Operations'!$A:$AAZ,MATCH($AA134,'Domestic Mobile Operations'!$A:$A,0),MATCH(AG133,'Domestic Mobile Operations'!$1:$1,0)),"")</f>
        <v>1983.7398373983738</v>
      </c>
      <c r="AH134" s="30">
        <f>IFERROR(INDEX('Domestic Mobile Operations'!$A:$AAZ,MATCH($AA134,'Domestic Mobile Operations'!$A:$A,0),MATCH(AH133,'Domestic Mobile Operations'!$1:$1,0)),"")</f>
        <v>2030.0813008130081</v>
      </c>
      <c r="AI134" s="30">
        <f>IFERROR(INDEX('Domestic Mobile Operations'!$A:$AAZ,MATCH($AA134,'Domestic Mobile Operations'!$A:$A,0),MATCH(AI133,'Domestic Mobile Operations'!$1:$1,0)),"")</f>
        <v>1983.7398373983738</v>
      </c>
      <c r="AJ134" s="30">
        <f>IFERROR(INDEX('Domestic Mobile Operations'!$A:$AAZ,MATCH($AA134,'Domestic Mobile Operations'!$A:$A,0),MATCH(AJ133,'Domestic Mobile Operations'!$1:$1,0)),"")</f>
        <v>1967.479674796748</v>
      </c>
      <c r="AK134" s="30">
        <f>IFERROR(INDEX('Domestic Mobile Operations'!$A:$AAZ,MATCH($AA134,'Domestic Mobile Operations'!$A:$A,0),MATCH(AK133,'Domestic Mobile Operations'!$1:$1,0)),"")</f>
        <v>2024.3902439024389</v>
      </c>
      <c r="AL134" s="30">
        <f>IFERROR(INDEX('Domestic Mobile Operations'!$A:$AAZ,MATCH($AA134,'Domestic Mobile Operations'!$A:$A,0),MATCH(AL133,'Domestic Mobile Operations'!$1:$1,0)),"")</f>
        <v>2138.2113821138214</v>
      </c>
      <c r="AM134" s="30">
        <f>IFERROR(INDEX('Domestic Mobile Operations'!$A:$AAZ,MATCH($AA134,'Domestic Mobile Operations'!$A:$A,0),MATCH(AM133,'Domestic Mobile Operations'!$1:$1,0)),"")</f>
        <v>2162.6016260162605</v>
      </c>
      <c r="AN134" s="30">
        <f>IFERROR(INDEX('Domestic Mobile Operations'!$A:$AAZ,MATCH($AA134,'Domestic Mobile Operations'!$A:$A,0),MATCH(AN133,'Domestic Mobile Operations'!$1:$1,0)),"")</f>
        <v>2048.7804878048782</v>
      </c>
      <c r="AO134" s="30">
        <f>IFERROR(INDEX('Domestic Mobile Operations'!$A:$AAZ,MATCH($AA134,'Domestic Mobile Operations'!$A:$A,0),MATCH(AO133,'Domestic Mobile Operations'!$1:$1,0)),"")</f>
        <v>2121.9512195121956</v>
      </c>
      <c r="AP134" s="30">
        <f>IFERROR(INDEX('Domestic Mobile Operations'!$A:$AAZ,MATCH($AA134,'Domestic Mobile Operations'!$A:$A,0),MATCH(AP133,'Domestic Mobile Operations'!$1:$1,0)),"")</f>
        <v>2186.9918699186987</v>
      </c>
      <c r="AQ134" s="30">
        <f>IFERROR(INDEX('Domestic Mobile Operations'!$A:$AAZ,MATCH($AA134,'Domestic Mobile Operations'!$A:$A,0),MATCH(AQ133,'Domestic Mobile Operations'!$1:$1,0)),"")</f>
        <v>2260.1626016260161</v>
      </c>
      <c r="AR134" s="30">
        <f>IFERROR(INDEX('Domestic Mobile Operations'!$A:$AAZ,MATCH($AA134,'Domestic Mobile Operations'!$A:$A,0),MATCH(AR133,'Domestic Mobile Operations'!$1:$1,0)),"")</f>
        <v>2398.3739837398375</v>
      </c>
      <c r="AS134" s="30">
        <f>IFERROR(INDEX('Domestic Mobile Operations'!$A:$AAZ,MATCH($AA134,'Domestic Mobile Operations'!$A:$A,0),MATCH(AS133,'Domestic Mobile Operations'!$1:$1,0)),"")</f>
        <v>2414.6341463414633</v>
      </c>
      <c r="AT134" s="30">
        <f>IFERROR(INDEX('Domestic Mobile Operations'!$A:$AAZ,MATCH($AA134,'Domestic Mobile Operations'!$A:$A,0),MATCH(AT133,'Domestic Mobile Operations'!$1:$1,0)),"")</f>
        <v>2447.1544715447158</v>
      </c>
      <c r="AU134" s="30">
        <f>IFERROR(INDEX('Domestic Mobile Operations'!$A:$AAZ,MATCH($AA134,'Domestic Mobile Operations'!$A:$A,0),MATCH(AU133,'Domestic Mobile Operations'!$1:$1,0)),"")</f>
        <v>2544.7154471544718</v>
      </c>
    </row>
    <row r="135" spans="1:47" x14ac:dyDescent="0.35">
      <c r="A135" s="6"/>
      <c r="B135" s="6"/>
      <c r="C135" s="6"/>
      <c r="D135" s="6"/>
      <c r="E135" s="6"/>
      <c r="F135" s="6"/>
      <c r="G135" s="6"/>
      <c r="H135" s="6"/>
      <c r="I135" s="6"/>
      <c r="J135" s="6"/>
      <c r="K135" s="6"/>
      <c r="L135" s="6"/>
      <c r="M135" s="6"/>
      <c r="N135" s="6"/>
      <c r="O135" s="6"/>
      <c r="P135" s="6"/>
      <c r="Q135" s="6"/>
      <c r="R135" s="6"/>
      <c r="S135" s="6"/>
      <c r="T135" s="6"/>
      <c r="U135" s="6"/>
      <c r="V135" s="6"/>
      <c r="W135" s="6"/>
      <c r="AA135" s="29" t="str">
        <f>'Domestic Mobile Operations'!A95</f>
        <v>ARPU</v>
      </c>
      <c r="AB135" s="30">
        <f>IFERROR(INDEX('Domestic Mobile Operations'!$A:$AAZ,MATCH($AA135,'Domestic Mobile Operations'!$A:$A,0),MATCH(AB133,'Domestic Mobile Operations'!$1:$1,0)),"")</f>
        <v>104.25531914893618</v>
      </c>
      <c r="AC135" s="30">
        <f>IFERROR(INDEX('Domestic Mobile Operations'!$A:$AAZ,MATCH($AA135,'Domestic Mobile Operations'!$A:$A,0),MATCH(AC133,'Domestic Mobile Operations'!$1:$1,0)),"")</f>
        <v>100</v>
      </c>
      <c r="AD135" s="30">
        <f>IFERROR(INDEX('Domestic Mobile Operations'!$A:$AAZ,MATCH($AA135,'Domestic Mobile Operations'!$A:$A,0),MATCH(AD133,'Domestic Mobile Operations'!$1:$1,0)),"")</f>
        <v>103.61702127659575</v>
      </c>
      <c r="AE135" s="30">
        <f>IFERROR(INDEX('Domestic Mobile Operations'!$A:$AAZ,MATCH($AA135,'Domestic Mobile Operations'!$A:$A,0),MATCH(AE133,'Domestic Mobile Operations'!$1:$1,0)),"")</f>
        <v>102.7659574468085</v>
      </c>
      <c r="AF135" s="30">
        <f>IFERROR(INDEX('Domestic Mobile Operations'!$A:$AAZ,MATCH($AA135,'Domestic Mobile Operations'!$A:$A,0),MATCH(AF133,'Domestic Mobile Operations'!$1:$1,0)),"")</f>
        <v>100.85106382978724</v>
      </c>
      <c r="AG135" s="30">
        <f>IFERROR(INDEX('Domestic Mobile Operations'!$A:$AAZ,MATCH($AA135,'Domestic Mobile Operations'!$A:$A,0),MATCH(AG133,'Domestic Mobile Operations'!$1:$1,0)),"")</f>
        <v>100</v>
      </c>
      <c r="AH135" s="30">
        <f>IFERROR(INDEX('Domestic Mobile Operations'!$A:$AAZ,MATCH($AA135,'Domestic Mobile Operations'!$A:$A,0),MATCH(AH133,'Domestic Mobile Operations'!$1:$1,0)),"")</f>
        <v>99.148936170212764</v>
      </c>
      <c r="AI135" s="30">
        <f>IFERROR(INDEX('Domestic Mobile Operations'!$A:$AAZ,MATCH($AA135,'Domestic Mobile Operations'!$A:$A,0),MATCH(AI133,'Domestic Mobile Operations'!$1:$1,0)),"")</f>
        <v>97.659574468085111</v>
      </c>
      <c r="AJ135" s="30">
        <f>IFERROR(INDEX('Domestic Mobile Operations'!$A:$AAZ,MATCH($AA135,'Domestic Mobile Operations'!$A:$A,0),MATCH(AJ133,'Domestic Mobile Operations'!$1:$1,0)),"")</f>
        <v>98.297872340425542</v>
      </c>
      <c r="AK135" s="30">
        <f>IFERROR(INDEX('Domestic Mobile Operations'!$A:$AAZ,MATCH($AA135,'Domestic Mobile Operations'!$A:$A,0),MATCH(AK133,'Domestic Mobile Operations'!$1:$1,0)),"")</f>
        <v>101.48936170212765</v>
      </c>
      <c r="AL135" s="30">
        <f>IFERROR(INDEX('Domestic Mobile Operations'!$A:$AAZ,MATCH($AA135,'Domestic Mobile Operations'!$A:$A,0),MATCH(AL133,'Domestic Mobile Operations'!$1:$1,0)),"")</f>
        <v>100.63829787234042</v>
      </c>
      <c r="AM135" s="30">
        <f>IFERROR(INDEX('Domestic Mobile Operations'!$A:$AAZ,MATCH($AA135,'Domestic Mobile Operations'!$A:$A,0),MATCH(AM133,'Domestic Mobile Operations'!$1:$1,0)),"")</f>
        <v>101.70212765957447</v>
      </c>
      <c r="AN135" s="30">
        <f>IFERROR(INDEX('Domestic Mobile Operations'!$A:$AAZ,MATCH($AA135,'Domestic Mobile Operations'!$A:$A,0),MATCH(AN133,'Domestic Mobile Operations'!$1:$1,0)),"")</f>
        <v>99.78723404255318</v>
      </c>
      <c r="AO135" s="30">
        <f>IFERROR(INDEX('Domestic Mobile Operations'!$A:$AAZ,MATCH($AA135,'Domestic Mobile Operations'!$A:$A,0),MATCH(AO133,'Domestic Mobile Operations'!$1:$1,0)),"")</f>
        <v>100</v>
      </c>
      <c r="AP135" s="30">
        <f>IFERROR(INDEX('Domestic Mobile Operations'!$A:$AAZ,MATCH($AA135,'Domestic Mobile Operations'!$A:$A,0),MATCH(AP133,'Domestic Mobile Operations'!$1:$1,0)),"")</f>
        <v>99.361702127659584</v>
      </c>
      <c r="AQ135" s="30">
        <f>IFERROR(INDEX('Domestic Mobile Operations'!$A:$AAZ,MATCH($AA135,'Domestic Mobile Operations'!$A:$A,0),MATCH(AQ133,'Domestic Mobile Operations'!$1:$1,0)),"")</f>
        <v>97.446808510638292</v>
      </c>
      <c r="AR135" s="30">
        <f>IFERROR(INDEX('Domestic Mobile Operations'!$A:$AAZ,MATCH($AA135,'Domestic Mobile Operations'!$A:$A,0),MATCH(AR133,'Domestic Mobile Operations'!$1:$1,0)),"")</f>
        <v>95.106382978723417</v>
      </c>
      <c r="AS135" s="30">
        <f>IFERROR(INDEX('Domestic Mobile Operations'!$A:$AAZ,MATCH($AA135,'Domestic Mobile Operations'!$A:$A,0),MATCH(AS133,'Domestic Mobile Operations'!$1:$1,0)),"")</f>
        <v>95.106382978723417</v>
      </c>
      <c r="AT135" s="30">
        <f>IFERROR(INDEX('Domestic Mobile Operations'!$A:$AAZ,MATCH($AA135,'Domestic Mobile Operations'!$A:$A,0),MATCH(AT133,'Domestic Mobile Operations'!$1:$1,0)),"")</f>
        <v>94.042553191489361</v>
      </c>
      <c r="AU135" s="30">
        <f>IFERROR(INDEX('Domestic Mobile Operations'!$A:$AAZ,MATCH($AA135,'Domestic Mobile Operations'!$A:$A,0),MATCH(AU133,'Domestic Mobile Operations'!$1:$1,0)),"")</f>
        <v>94.680851063829792</v>
      </c>
    </row>
    <row r="136" spans="1:47" x14ac:dyDescent="0.35">
      <c r="A136" s="6"/>
      <c r="B136" s="6"/>
      <c r="C136" s="6"/>
      <c r="D136" s="6"/>
      <c r="E136" s="6"/>
      <c r="F136" s="6"/>
      <c r="G136" s="6"/>
      <c r="H136" s="6"/>
      <c r="I136" s="6"/>
      <c r="J136" s="6"/>
      <c r="K136" s="6"/>
      <c r="L136" s="6"/>
      <c r="M136" s="6"/>
      <c r="N136" s="6"/>
      <c r="O136" s="6"/>
      <c r="P136" s="6"/>
      <c r="Q136" s="6"/>
      <c r="R136" s="6"/>
      <c r="S136" s="6"/>
      <c r="T136" s="6"/>
      <c r="U136" s="6"/>
      <c r="V136" s="6"/>
      <c r="W136" s="6"/>
    </row>
    <row r="137" spans="1:47" x14ac:dyDescent="0.35">
      <c r="A137" s="6"/>
      <c r="B137" s="6"/>
      <c r="C137" s="6"/>
      <c r="D137" s="6"/>
      <c r="E137" s="6"/>
      <c r="F137" s="6"/>
      <c r="G137" s="6"/>
      <c r="H137" s="6"/>
      <c r="I137" s="6"/>
      <c r="J137" s="6"/>
      <c r="K137" s="6"/>
      <c r="L137" s="6"/>
      <c r="M137" s="6"/>
      <c r="N137" s="6"/>
      <c r="O137" s="6"/>
      <c r="P137" s="6"/>
      <c r="Q137" s="6"/>
      <c r="R137" s="6"/>
      <c r="S137" s="6"/>
      <c r="T137" s="6"/>
      <c r="U137" s="6"/>
      <c r="V137" s="6"/>
      <c r="W137" s="6"/>
    </row>
    <row r="138" spans="1:47" x14ac:dyDescent="0.35">
      <c r="A138" s="6"/>
      <c r="B138" s="6"/>
      <c r="C138" s="6"/>
      <c r="D138" s="6"/>
      <c r="E138" s="6"/>
      <c r="F138" s="6"/>
      <c r="G138" s="6"/>
      <c r="H138" s="6"/>
      <c r="I138" s="6"/>
      <c r="J138" s="6"/>
      <c r="K138" s="6"/>
      <c r="L138" s="6"/>
      <c r="M138" s="6"/>
      <c r="N138" s="6"/>
      <c r="O138" s="6"/>
      <c r="P138" s="6"/>
      <c r="Q138" s="6"/>
      <c r="R138" s="6"/>
      <c r="S138" s="6"/>
      <c r="T138" s="6"/>
      <c r="U138" s="6"/>
      <c r="V138" s="6"/>
      <c r="W138" s="6"/>
    </row>
    <row r="139" spans="1:47" x14ac:dyDescent="0.35">
      <c r="A139" s="6"/>
      <c r="B139" s="6" t="s">
        <v>195</v>
      </c>
      <c r="C139" s="6"/>
      <c r="D139" s="6"/>
      <c r="E139" s="6"/>
      <c r="F139" s="6"/>
      <c r="G139" s="6"/>
      <c r="H139" s="6"/>
      <c r="I139" s="6"/>
      <c r="J139" s="6"/>
      <c r="K139" s="6"/>
      <c r="L139" s="6"/>
      <c r="M139" s="6"/>
      <c r="N139" s="6"/>
      <c r="O139" s="6"/>
      <c r="P139" s="6"/>
      <c r="Q139" s="6"/>
      <c r="R139" s="6"/>
      <c r="S139" s="6"/>
      <c r="T139" s="6"/>
      <c r="U139" s="6"/>
      <c r="V139" s="6"/>
      <c r="W139" s="6"/>
    </row>
    <row r="140" spans="1:47" x14ac:dyDescent="0.35">
      <c r="A140" s="1" t="s">
        <v>31</v>
      </c>
      <c r="B140" s="1" t="s">
        <v>183</v>
      </c>
      <c r="C140" s="1"/>
      <c r="D140" s="1"/>
      <c r="E140" s="1"/>
      <c r="F140" s="1"/>
      <c r="G140" s="1"/>
      <c r="H140" s="1"/>
      <c r="I140" s="1"/>
      <c r="J140" s="1"/>
      <c r="K140" s="1" t="s">
        <v>32</v>
      </c>
      <c r="L140" s="1" t="s">
        <v>184</v>
      </c>
      <c r="M140" s="1"/>
      <c r="N140" s="1"/>
      <c r="O140" s="1"/>
      <c r="P140" s="1"/>
      <c r="Q140" s="1"/>
      <c r="R140" s="1"/>
      <c r="S140" s="1"/>
      <c r="T140" s="1"/>
      <c r="U140" s="6"/>
      <c r="V140" s="6"/>
      <c r="W140" s="6"/>
    </row>
    <row r="141" spans="1:47" x14ac:dyDescent="0.35">
      <c r="A141" s="6"/>
      <c r="B141" s="6"/>
      <c r="C141" s="6"/>
      <c r="D141" s="6"/>
      <c r="E141" s="6"/>
      <c r="F141" s="6"/>
      <c r="G141" s="6"/>
      <c r="H141" s="6"/>
      <c r="I141" s="6"/>
      <c r="J141" s="6"/>
      <c r="K141" s="6"/>
      <c r="L141" s="6"/>
      <c r="M141" s="6"/>
      <c r="N141" s="6"/>
      <c r="O141" s="6"/>
      <c r="P141" s="6"/>
      <c r="Q141" s="6"/>
      <c r="R141" s="6"/>
      <c r="S141" s="6"/>
      <c r="T141" s="6"/>
      <c r="U141" s="6"/>
      <c r="V141" s="6"/>
      <c r="W141" s="6"/>
    </row>
    <row r="142" spans="1:47" x14ac:dyDescent="0.35">
      <c r="A142" s="6"/>
      <c r="B142" s="6"/>
      <c r="C142" s="6"/>
      <c r="D142" s="6"/>
      <c r="E142" s="6"/>
      <c r="F142" s="6"/>
      <c r="G142" s="6"/>
      <c r="H142" s="6"/>
      <c r="I142" s="6"/>
      <c r="J142" s="6"/>
      <c r="K142" s="6"/>
      <c r="L142" s="6"/>
      <c r="M142" s="6"/>
      <c r="N142" s="6"/>
      <c r="O142" s="6"/>
      <c r="P142" s="6"/>
      <c r="Q142" s="6"/>
      <c r="R142" s="6"/>
      <c r="S142" s="6"/>
      <c r="T142" s="6"/>
      <c r="U142" s="6"/>
      <c r="V142" s="6"/>
      <c r="W142" s="6"/>
    </row>
    <row r="143" spans="1:47" x14ac:dyDescent="0.35">
      <c r="A143" s="6"/>
      <c r="B143" s="6"/>
      <c r="C143" s="6"/>
      <c r="D143" s="6"/>
      <c r="E143" s="6"/>
      <c r="F143" s="6"/>
      <c r="G143" s="6"/>
      <c r="H143" s="6"/>
      <c r="I143" s="6"/>
      <c r="J143" s="6"/>
      <c r="K143" s="6"/>
      <c r="L143" s="6"/>
      <c r="M143" s="6"/>
      <c r="N143" s="6"/>
      <c r="O143" s="6"/>
      <c r="P143" s="6"/>
      <c r="Q143" s="6"/>
      <c r="R143" s="6"/>
      <c r="S143" s="6"/>
      <c r="T143" s="6"/>
      <c r="U143" s="6"/>
      <c r="V143" s="6"/>
      <c r="W143" s="6"/>
    </row>
    <row r="144" spans="1:47" x14ac:dyDescent="0.35">
      <c r="A144" s="6"/>
      <c r="B144" s="6"/>
      <c r="C144" s="6"/>
      <c r="D144" s="6"/>
      <c r="E144" s="6"/>
      <c r="F144" s="6"/>
      <c r="G144" s="6"/>
      <c r="H144" s="6"/>
      <c r="I144" s="6"/>
      <c r="J144" s="6"/>
      <c r="K144" s="6"/>
      <c r="L144" s="6"/>
      <c r="M144" s="6"/>
      <c r="N144" s="6"/>
      <c r="O144" s="6"/>
      <c r="P144" s="6"/>
      <c r="Q144" s="6"/>
      <c r="R144" s="6"/>
      <c r="S144" s="6"/>
      <c r="T144" s="6"/>
      <c r="U144" s="6"/>
      <c r="V144" s="6"/>
      <c r="W144" s="6"/>
      <c r="AB144" s="27">
        <f t="shared" ref="AB144" si="235">AC144-1</f>
        <v>33</v>
      </c>
      <c r="AC144" s="27">
        <f t="shared" ref="AC144" si="236">AD144-1</f>
        <v>34</v>
      </c>
      <c r="AD144" s="27">
        <f t="shared" ref="AD144" si="237">AE144-1</f>
        <v>35</v>
      </c>
      <c r="AE144" s="27">
        <f t="shared" ref="AE144" si="238">AF144-1</f>
        <v>36</v>
      </c>
      <c r="AF144" s="27">
        <f t="shared" ref="AF144" si="239">AG144-1</f>
        <v>37</v>
      </c>
      <c r="AG144" s="27">
        <f t="shared" ref="AG144" si="240">AH144-1</f>
        <v>38</v>
      </c>
      <c r="AH144" s="27">
        <f t="shared" ref="AH144" si="241">AI144-1</f>
        <v>39</v>
      </c>
      <c r="AI144" s="27">
        <f t="shared" ref="AI144" si="242">AJ144-1</f>
        <v>40</v>
      </c>
      <c r="AJ144" s="27">
        <f t="shared" ref="AJ144" si="243">AK144-1</f>
        <v>41</v>
      </c>
      <c r="AK144" s="27">
        <f t="shared" ref="AK144" si="244">AL144-1</f>
        <v>42</v>
      </c>
      <c r="AL144" s="27">
        <f t="shared" ref="AL144" si="245">AM144-1</f>
        <v>43</v>
      </c>
      <c r="AM144" s="27">
        <f t="shared" ref="AM144" si="246">AN144-1</f>
        <v>44</v>
      </c>
      <c r="AN144" s="27">
        <f t="shared" ref="AN144" si="247">AO144-1</f>
        <v>45</v>
      </c>
      <c r="AO144" s="27">
        <f t="shared" ref="AO144" si="248">AP144-1</f>
        <v>46</v>
      </c>
      <c r="AP144" s="27">
        <f t="shared" ref="AP144" si="249">AQ144-1</f>
        <v>47</v>
      </c>
      <c r="AQ144" s="27">
        <f t="shared" ref="AQ144" si="250">AR144-1</f>
        <v>48</v>
      </c>
      <c r="AR144" s="27">
        <f t="shared" ref="AR144" si="251">AS144-1</f>
        <v>49</v>
      </c>
      <c r="AS144" s="27">
        <f t="shared" ref="AS144" si="252">AT144-1</f>
        <v>50</v>
      </c>
      <c r="AT144" s="27">
        <f>AU144-1</f>
        <v>51</v>
      </c>
      <c r="AU144" s="27">
        <f>VLOOKUP(AU145,Dates!$A:$D,2,FALSE)</f>
        <v>52</v>
      </c>
    </row>
    <row r="145" spans="1:47" x14ac:dyDescent="0.35">
      <c r="A145" s="6"/>
      <c r="B145" s="6"/>
      <c r="C145" s="6"/>
      <c r="D145" s="6"/>
      <c r="E145" s="6"/>
      <c r="F145" s="6"/>
      <c r="G145" s="6"/>
      <c r="H145" s="6"/>
      <c r="I145" s="6"/>
      <c r="J145" s="6"/>
      <c r="K145" s="6"/>
      <c r="L145" s="6"/>
      <c r="M145" s="6"/>
      <c r="N145" s="6"/>
      <c r="O145" s="6"/>
      <c r="P145" s="6"/>
      <c r="Q145" s="6"/>
      <c r="R145" s="6"/>
      <c r="S145" s="6"/>
      <c r="T145" s="6"/>
      <c r="U145" s="6"/>
      <c r="V145" s="6"/>
      <c r="W145" s="6"/>
      <c r="AB145" s="27" t="str">
        <f>IFERROR(VLOOKUP(AB144,Dates!$B:$D,3,FALSE),"")</f>
        <v>1Q20</v>
      </c>
      <c r="AC145" s="27" t="str">
        <f>IFERROR(VLOOKUP(AC144,Dates!$B:$D,3,FALSE),"")</f>
        <v>2Q20</v>
      </c>
      <c r="AD145" s="27" t="str">
        <f>IFERROR(VLOOKUP(AD144,Dates!$B:$D,3,FALSE),"")</f>
        <v>3Q20</v>
      </c>
      <c r="AE145" s="27" t="str">
        <f>IFERROR(VLOOKUP(AE144,Dates!$B:$D,3,FALSE),"")</f>
        <v>4Q20</v>
      </c>
      <c r="AF145" s="27" t="str">
        <f>IFERROR(VLOOKUP(AF144,Dates!$B:$D,3,FALSE),"")</f>
        <v>1Q21</v>
      </c>
      <c r="AG145" s="27" t="str">
        <f>IFERROR(VLOOKUP(AG144,Dates!$B:$D,3,FALSE),"")</f>
        <v>2Q21</v>
      </c>
      <c r="AH145" s="27" t="str">
        <f>IFERROR(VLOOKUP(AH144,Dates!$B:$D,3,FALSE),"")</f>
        <v>3Q21</v>
      </c>
      <c r="AI145" s="27" t="str">
        <f>IFERROR(VLOOKUP(AI144,Dates!$B:$D,3,FALSE),"")</f>
        <v>4Q21</v>
      </c>
      <c r="AJ145" s="27" t="str">
        <f>IFERROR(VLOOKUP(AJ144,Dates!$B:$D,3,FALSE),"")</f>
        <v>1Q22</v>
      </c>
      <c r="AK145" s="27" t="str">
        <f>IFERROR(VLOOKUP(AK144,Dates!$B:$D,3,FALSE),"")</f>
        <v>2Q22</v>
      </c>
      <c r="AL145" s="27" t="str">
        <f>IFERROR(VLOOKUP(AL144,Dates!$B:$D,3,FALSE),"")</f>
        <v>3Q22</v>
      </c>
      <c r="AM145" s="27" t="str">
        <f>IFERROR(VLOOKUP(AM144,Dates!$B:$D,3,FALSE),"")</f>
        <v>4Q22</v>
      </c>
      <c r="AN145" s="27" t="str">
        <f>IFERROR(VLOOKUP(AN144,Dates!$B:$D,3,FALSE),"")</f>
        <v>1Q23</v>
      </c>
      <c r="AO145" s="27" t="str">
        <f>IFERROR(VLOOKUP(AO144,Dates!$B:$D,3,FALSE),"")</f>
        <v>2Q23</v>
      </c>
      <c r="AP145" s="27" t="str">
        <f>IFERROR(VLOOKUP(AP144,Dates!$B:$D,3,FALSE),"")</f>
        <v>3Q23</v>
      </c>
      <c r="AQ145" s="27" t="str">
        <f>IFERROR(VLOOKUP(AQ144,Dates!$B:$D,3,FALSE),"")</f>
        <v>4Q23</v>
      </c>
      <c r="AR145" s="27" t="str">
        <f>IFERROR(VLOOKUP(AR144,Dates!$B:$D,3,FALSE),"")</f>
        <v>1Q24</v>
      </c>
      <c r="AS145" s="27" t="str">
        <f>IFERROR(VLOOKUP(AS144,Dates!$B:$D,3,FALSE),"")</f>
        <v>2Q24</v>
      </c>
      <c r="AT145" s="27" t="str">
        <f>IFERROR(VLOOKUP(AT144,Dates!$B:$D,3,FALSE),"")</f>
        <v>3Q24</v>
      </c>
      <c r="AU145" s="28" t="str">
        <f>$G$3</f>
        <v>4Q24</v>
      </c>
    </row>
    <row r="146" spans="1:47" x14ac:dyDescent="0.35">
      <c r="A146" s="6"/>
      <c r="B146" s="6"/>
      <c r="C146" s="6"/>
      <c r="D146" s="6"/>
      <c r="E146" s="6"/>
      <c r="F146" s="6"/>
      <c r="G146" s="6"/>
      <c r="H146" s="6"/>
      <c r="I146" s="6"/>
      <c r="J146" s="6"/>
      <c r="K146" s="6"/>
      <c r="L146" s="6"/>
      <c r="M146" s="6"/>
      <c r="N146" s="6"/>
      <c r="O146" s="6"/>
      <c r="P146" s="6"/>
      <c r="Q146" s="6"/>
      <c r="R146" s="6"/>
      <c r="S146" s="6"/>
      <c r="T146" s="6"/>
      <c r="U146" s="6"/>
      <c r="V146" s="6"/>
      <c r="W146" s="6"/>
      <c r="AA146" s="29" t="str">
        <f>'Domestic Mobile Operations'!A7</f>
        <v>Data user subscribers</v>
      </c>
      <c r="AB146" s="30">
        <f>IFERROR(INDEX('Domestic Mobile Operations'!$A:$AAZ,MATCH($AA146,'Domestic Mobile Operations'!$A:$A,0),MATCH(AB145,'Domestic Mobile Operations'!$1:$1,0)),"")</f>
        <v>8300</v>
      </c>
      <c r="AC146" s="30">
        <f>IFERROR(INDEX('Domestic Mobile Operations'!$A:$AAZ,MATCH($AA146,'Domestic Mobile Operations'!$A:$A,0),MATCH(AC145,'Domestic Mobile Operations'!$1:$1,0)),"")</f>
        <v>8400</v>
      </c>
      <c r="AD146" s="30">
        <f>IFERROR(INDEX('Domestic Mobile Operations'!$A:$AAZ,MATCH($AA146,'Domestic Mobile Operations'!$A:$A,0),MATCH(AD145,'Domestic Mobile Operations'!$1:$1,0)),"")</f>
        <v>8600</v>
      </c>
      <c r="AE146" s="30">
        <f>IFERROR(INDEX('Domestic Mobile Operations'!$A:$AAZ,MATCH($AA146,'Domestic Mobile Operations'!$A:$A,0),MATCH(AE145,'Domestic Mobile Operations'!$1:$1,0)),"")</f>
        <v>8800</v>
      </c>
      <c r="AF146" s="30">
        <f>IFERROR(INDEX('Domestic Mobile Operations'!$A:$AAZ,MATCH($AA146,'Domestic Mobile Operations'!$A:$A,0),MATCH(AF145,'Domestic Mobile Operations'!$1:$1,0)),"")</f>
        <v>8900</v>
      </c>
      <c r="AG146" s="30">
        <f>IFERROR(INDEX('Domestic Mobile Operations'!$A:$AAZ,MATCH($AA146,'Domestic Mobile Operations'!$A:$A,0),MATCH(AG145,'Domestic Mobile Operations'!$1:$1,0)),"")</f>
        <v>8500</v>
      </c>
      <c r="AH146" s="30">
        <f>IFERROR(INDEX('Domestic Mobile Operations'!$A:$AAZ,MATCH($AA146,'Domestic Mobile Operations'!$A:$A,0),MATCH(AH145,'Domestic Mobile Operations'!$1:$1,0)),"")</f>
        <v>8800</v>
      </c>
      <c r="AI146" s="30">
        <f>IFERROR(INDEX('Domestic Mobile Operations'!$A:$AAZ,MATCH($AA146,'Domestic Mobile Operations'!$A:$A,0),MATCH(AI145,'Domestic Mobile Operations'!$1:$1,0)),"")</f>
        <v>8500</v>
      </c>
      <c r="AJ146" s="30">
        <f>IFERROR(INDEX('Domestic Mobile Operations'!$A:$AAZ,MATCH($AA146,'Domestic Mobile Operations'!$A:$A,0),MATCH(AJ145,'Domestic Mobile Operations'!$1:$1,0)),"")</f>
        <v>8500</v>
      </c>
      <c r="AK146" s="30">
        <f>IFERROR(INDEX('Domestic Mobile Operations'!$A:$AAZ,MATCH($AA146,'Domestic Mobile Operations'!$A:$A,0),MATCH(AK145,'Domestic Mobile Operations'!$1:$1,0)),"")</f>
        <v>0</v>
      </c>
      <c r="AL146" s="30">
        <f>IFERROR(INDEX('Domestic Mobile Operations'!$A:$AAZ,MATCH($AA146,'Domestic Mobile Operations'!$A:$A,0),MATCH(AL145,'Domestic Mobile Operations'!$1:$1,0)),"")</f>
        <v>0</v>
      </c>
      <c r="AM146" s="30">
        <f>IFERROR(INDEX('Domestic Mobile Operations'!$A:$AAZ,MATCH($AA146,'Domestic Mobile Operations'!$A:$A,0),MATCH(AM145,'Domestic Mobile Operations'!$1:$1,0)),"")</f>
        <v>0</v>
      </c>
      <c r="AN146" s="30">
        <f>IFERROR(INDEX('Domestic Mobile Operations'!$A:$AAZ,MATCH($AA146,'Domestic Mobile Operations'!$A:$A,0),MATCH(AN145,'Domestic Mobile Operations'!$1:$1,0)),"")</f>
        <v>0</v>
      </c>
      <c r="AO146" s="30">
        <f>IFERROR(INDEX('Domestic Mobile Operations'!$A:$AAZ,MATCH($AA146,'Domestic Mobile Operations'!$A:$A,0),MATCH(AO145,'Domestic Mobile Operations'!$1:$1,0)),"")</f>
        <v>0</v>
      </c>
      <c r="AP146" s="30">
        <f>IFERROR(INDEX('Domestic Mobile Operations'!$A:$AAZ,MATCH($AA146,'Domestic Mobile Operations'!$A:$A,0),MATCH(AP145,'Domestic Mobile Operations'!$1:$1,0)),"")</f>
        <v>0</v>
      </c>
      <c r="AQ146" s="30">
        <f>IFERROR(INDEX('Domestic Mobile Operations'!$A:$AAZ,MATCH($AA146,'Domestic Mobile Operations'!$A:$A,0),MATCH(AQ145,'Domestic Mobile Operations'!$1:$1,0)),"")</f>
        <v>0</v>
      </c>
      <c r="AR146" s="30">
        <f>IFERROR(INDEX('Domestic Mobile Operations'!$A:$AAZ,MATCH($AA146,'Domestic Mobile Operations'!$A:$A,0),MATCH(AR145,'Domestic Mobile Operations'!$1:$1,0)),"")</f>
        <v>0</v>
      </c>
      <c r="AS146" s="30">
        <f>IFERROR(INDEX('Domestic Mobile Operations'!$A:$AAZ,MATCH($AA146,'Domestic Mobile Operations'!$A:$A,0),MATCH(AS145,'Domestic Mobile Operations'!$1:$1,0)),"")</f>
        <v>0</v>
      </c>
      <c r="AT146" s="30">
        <f>IFERROR(INDEX('Domestic Mobile Operations'!$A:$AAZ,MATCH($AA146,'Domestic Mobile Operations'!$A:$A,0),MATCH(AT145,'Domestic Mobile Operations'!$1:$1,0)),"")</f>
        <v>0</v>
      </c>
      <c r="AU146" s="30">
        <f>IFERROR(INDEX('Domestic Mobile Operations'!$A:$AAZ,MATCH($AA146,'Domestic Mobile Operations'!$A:$A,0),MATCH(AU145,'Domestic Mobile Operations'!$1:$1,0)),"")</f>
        <v>0</v>
      </c>
    </row>
    <row r="147" spans="1:47" x14ac:dyDescent="0.35">
      <c r="A147" s="6"/>
      <c r="B147" s="6"/>
      <c r="C147" s="6"/>
      <c r="D147" s="6"/>
      <c r="E147" s="6"/>
      <c r="F147" s="6"/>
      <c r="G147" s="6"/>
      <c r="H147" s="6"/>
      <c r="I147" s="6"/>
      <c r="J147" s="6"/>
      <c r="K147" s="6"/>
      <c r="L147" s="6"/>
      <c r="M147" s="6"/>
      <c r="N147" s="6"/>
      <c r="O147" s="6"/>
      <c r="P147" s="6"/>
      <c r="Q147" s="6"/>
      <c r="R147" s="6"/>
      <c r="S147" s="6"/>
      <c r="T147" s="6"/>
      <c r="U147" s="6"/>
      <c r="V147" s="6"/>
      <c r="W147" s="6"/>
    </row>
    <row r="148" spans="1:47" x14ac:dyDescent="0.35">
      <c r="A148" s="6"/>
      <c r="B148" s="6"/>
      <c r="C148" s="6"/>
      <c r="D148" s="6"/>
      <c r="E148" s="6"/>
      <c r="F148" s="6"/>
      <c r="G148" s="6"/>
      <c r="H148" s="6"/>
      <c r="I148" s="6"/>
      <c r="J148" s="6"/>
      <c r="K148" s="6"/>
      <c r="L148" s="6"/>
      <c r="M148" s="6"/>
      <c r="N148" s="6"/>
      <c r="O148" s="6"/>
      <c r="P148" s="6"/>
      <c r="Q148" s="6"/>
      <c r="R148" s="6"/>
      <c r="S148" s="6"/>
      <c r="T148" s="6"/>
      <c r="U148" s="6"/>
      <c r="V148" s="6"/>
      <c r="W148" s="6"/>
    </row>
    <row r="149" spans="1:47" x14ac:dyDescent="0.35">
      <c r="A149" s="6"/>
      <c r="B149" s="6"/>
      <c r="C149" s="6"/>
      <c r="D149" s="6"/>
      <c r="E149" s="6"/>
      <c r="F149" s="6"/>
      <c r="G149" s="6"/>
      <c r="H149" s="6"/>
      <c r="I149" s="6"/>
      <c r="J149" s="6"/>
      <c r="K149" s="6"/>
      <c r="L149" s="6"/>
      <c r="M149" s="6"/>
      <c r="N149" s="6"/>
      <c r="O149" s="6"/>
      <c r="P149" s="6"/>
      <c r="Q149" s="6"/>
      <c r="R149" s="6"/>
      <c r="S149" s="6"/>
      <c r="T149" s="6"/>
      <c r="U149" s="6"/>
      <c r="V149" s="6"/>
      <c r="W149" s="6"/>
    </row>
    <row r="150" spans="1:47" x14ac:dyDescent="0.35">
      <c r="A150" s="6"/>
      <c r="B150" s="6"/>
      <c r="C150" s="6"/>
      <c r="D150" s="6"/>
      <c r="E150" s="6"/>
      <c r="F150" s="6"/>
      <c r="G150" s="6"/>
      <c r="H150" s="6"/>
      <c r="I150" s="6"/>
      <c r="J150" s="6"/>
      <c r="K150" s="6"/>
      <c r="L150" s="6"/>
      <c r="M150" s="6"/>
      <c r="N150" s="6"/>
      <c r="O150" s="6"/>
      <c r="P150" s="6"/>
      <c r="Q150" s="6"/>
      <c r="R150" s="6"/>
      <c r="S150" s="6"/>
      <c r="T150" s="6"/>
      <c r="U150" s="6"/>
      <c r="V150" s="6"/>
      <c r="W150" s="6"/>
      <c r="AB150" s="27">
        <f t="shared" ref="AB150" si="253">AC150-1</f>
        <v>33</v>
      </c>
      <c r="AC150" s="27">
        <f t="shared" ref="AC150" si="254">AD150-1</f>
        <v>34</v>
      </c>
      <c r="AD150" s="27">
        <f t="shared" ref="AD150" si="255">AE150-1</f>
        <v>35</v>
      </c>
      <c r="AE150" s="27">
        <f t="shared" ref="AE150" si="256">AF150-1</f>
        <v>36</v>
      </c>
      <c r="AF150" s="27">
        <f t="shared" ref="AF150" si="257">AG150-1</f>
        <v>37</v>
      </c>
      <c r="AG150" s="27">
        <f t="shared" ref="AG150" si="258">AH150-1</f>
        <v>38</v>
      </c>
      <c r="AH150" s="27">
        <f t="shared" ref="AH150" si="259">AI150-1</f>
        <v>39</v>
      </c>
      <c r="AI150" s="27">
        <f t="shared" ref="AI150" si="260">AJ150-1</f>
        <v>40</v>
      </c>
      <c r="AJ150" s="27">
        <f t="shared" ref="AJ150" si="261">AK150-1</f>
        <v>41</v>
      </c>
      <c r="AK150" s="27">
        <f t="shared" ref="AK150" si="262">AL150-1</f>
        <v>42</v>
      </c>
      <c r="AL150" s="27">
        <f t="shared" ref="AL150" si="263">AM150-1</f>
        <v>43</v>
      </c>
      <c r="AM150" s="27">
        <f t="shared" ref="AM150" si="264">AN150-1</f>
        <v>44</v>
      </c>
      <c r="AN150" s="27">
        <f t="shared" ref="AN150" si="265">AO150-1</f>
        <v>45</v>
      </c>
      <c r="AO150" s="27">
        <f t="shared" ref="AO150" si="266">AP150-1</f>
        <v>46</v>
      </c>
      <c r="AP150" s="27">
        <f t="shared" ref="AP150" si="267">AQ150-1</f>
        <v>47</v>
      </c>
      <c r="AQ150" s="27">
        <f t="shared" ref="AQ150" si="268">AR150-1</f>
        <v>48</v>
      </c>
      <c r="AR150" s="27">
        <f t="shared" ref="AR150" si="269">AS150-1</f>
        <v>49</v>
      </c>
      <c r="AS150" s="27">
        <f t="shared" ref="AS150" si="270">AT150-1</f>
        <v>50</v>
      </c>
      <c r="AT150" s="27">
        <f>AU150-1</f>
        <v>51</v>
      </c>
      <c r="AU150" s="27">
        <f>VLOOKUP(AU151,Dates!$A:$D,2,FALSE)</f>
        <v>52</v>
      </c>
    </row>
    <row r="151" spans="1:47" x14ac:dyDescent="0.35">
      <c r="A151" s="6"/>
      <c r="B151" s="6"/>
      <c r="C151" s="6"/>
      <c r="D151" s="6"/>
      <c r="E151" s="6"/>
      <c r="F151" s="6"/>
      <c r="G151" s="6"/>
      <c r="H151" s="6"/>
      <c r="I151" s="6"/>
      <c r="J151" s="6"/>
      <c r="K151" s="6"/>
      <c r="L151" s="6"/>
      <c r="M151" s="6"/>
      <c r="N151" s="6"/>
      <c r="O151" s="6"/>
      <c r="P151" s="6"/>
      <c r="Q151" s="6"/>
      <c r="R151" s="6"/>
      <c r="S151" s="6"/>
      <c r="T151" s="6"/>
      <c r="U151" s="6"/>
      <c r="V151" s="6"/>
      <c r="W151" s="6"/>
      <c r="AB151" s="27" t="str">
        <f>IFERROR(VLOOKUP(AB150,Dates!$B:$D,3,FALSE),"")</f>
        <v>1Q20</v>
      </c>
      <c r="AC151" s="27" t="str">
        <f>IFERROR(VLOOKUP(AC150,Dates!$B:$D,3,FALSE),"")</f>
        <v>2Q20</v>
      </c>
      <c r="AD151" s="27" t="str">
        <f>IFERROR(VLOOKUP(AD150,Dates!$B:$D,3,FALSE),"")</f>
        <v>3Q20</v>
      </c>
      <c r="AE151" s="27" t="str">
        <f>IFERROR(VLOOKUP(AE150,Dates!$B:$D,3,FALSE),"")</f>
        <v>4Q20</v>
      </c>
      <c r="AF151" s="27" t="str">
        <f>IFERROR(VLOOKUP(AF150,Dates!$B:$D,3,FALSE),"")</f>
        <v>1Q21</v>
      </c>
      <c r="AG151" s="27" t="str">
        <f>IFERROR(VLOOKUP(AG150,Dates!$B:$D,3,FALSE),"")</f>
        <v>2Q21</v>
      </c>
      <c r="AH151" s="27" t="str">
        <f>IFERROR(VLOOKUP(AH150,Dates!$B:$D,3,FALSE),"")</f>
        <v>3Q21</v>
      </c>
      <c r="AI151" s="27" t="str">
        <f>IFERROR(VLOOKUP(AI150,Dates!$B:$D,3,FALSE),"")</f>
        <v>4Q21</v>
      </c>
      <c r="AJ151" s="27" t="str">
        <f>IFERROR(VLOOKUP(AJ150,Dates!$B:$D,3,FALSE),"")</f>
        <v>1Q22</v>
      </c>
      <c r="AK151" s="27" t="str">
        <f>IFERROR(VLOOKUP(AK150,Dates!$B:$D,3,FALSE),"")</f>
        <v>2Q22</v>
      </c>
      <c r="AL151" s="27" t="str">
        <f>IFERROR(VLOOKUP(AL150,Dates!$B:$D,3,FALSE),"")</f>
        <v>3Q22</v>
      </c>
      <c r="AM151" s="27" t="str">
        <f>IFERROR(VLOOKUP(AM150,Dates!$B:$D,3,FALSE),"")</f>
        <v>4Q22</v>
      </c>
      <c r="AN151" s="27" t="str">
        <f>IFERROR(VLOOKUP(AN150,Dates!$B:$D,3,FALSE),"")</f>
        <v>1Q23</v>
      </c>
      <c r="AO151" s="27" t="str">
        <f>IFERROR(VLOOKUP(AO150,Dates!$B:$D,3,FALSE),"")</f>
        <v>2Q23</v>
      </c>
      <c r="AP151" s="27" t="str">
        <f>IFERROR(VLOOKUP(AP150,Dates!$B:$D,3,FALSE),"")</f>
        <v>3Q23</v>
      </c>
      <c r="AQ151" s="27" t="str">
        <f>IFERROR(VLOOKUP(AQ150,Dates!$B:$D,3,FALSE),"")</f>
        <v>4Q23</v>
      </c>
      <c r="AR151" s="27" t="str">
        <f>IFERROR(VLOOKUP(AR150,Dates!$B:$D,3,FALSE),"")</f>
        <v>1Q24</v>
      </c>
      <c r="AS151" s="27" t="str">
        <f>IFERROR(VLOOKUP(AS150,Dates!$B:$D,3,FALSE),"")</f>
        <v>2Q24</v>
      </c>
      <c r="AT151" s="27" t="str">
        <f>IFERROR(VLOOKUP(AT150,Dates!$B:$D,3,FALSE),"")</f>
        <v>3Q24</v>
      </c>
      <c r="AU151" s="28" t="str">
        <f>$G$3</f>
        <v>4Q24</v>
      </c>
    </row>
    <row r="152" spans="1:47" x14ac:dyDescent="0.35">
      <c r="A152" s="6"/>
      <c r="B152" s="6"/>
      <c r="C152" s="6"/>
      <c r="D152" s="6"/>
      <c r="E152" s="6"/>
      <c r="F152" s="6"/>
      <c r="G152" s="6"/>
      <c r="H152" s="6"/>
      <c r="I152" s="6"/>
      <c r="J152" s="6"/>
      <c r="K152" s="6"/>
      <c r="L152" s="6"/>
      <c r="M152" s="6"/>
      <c r="N152" s="6"/>
      <c r="O152" s="6"/>
      <c r="P152" s="6"/>
      <c r="Q152" s="6"/>
      <c r="R152" s="6"/>
      <c r="S152" s="6"/>
      <c r="T152" s="6"/>
      <c r="U152" s="6"/>
      <c r="V152" s="6"/>
      <c r="W152" s="6"/>
      <c r="AA152" s="29" t="str">
        <f>'Domestic Mobile Operations'!A53</f>
        <v>Data user net adds</v>
      </c>
      <c r="AB152" s="30">
        <f>IFERROR(INDEX('Domestic Mobile Operations'!$A:$AAZ,MATCH($AA152,'Domestic Mobile Operations'!$A:$A,0),MATCH(AB151,'Domestic Mobile Operations'!$1:$1,0)),"")</f>
        <v>-400</v>
      </c>
      <c r="AC152" s="30">
        <f>IFERROR(INDEX('Domestic Mobile Operations'!$A:$AAZ,MATCH($AA152,'Domestic Mobile Operations'!$A:$A,0),MATCH(AC151,'Domestic Mobile Operations'!$1:$1,0)),"")</f>
        <v>100</v>
      </c>
      <c r="AD152" s="30">
        <f>IFERROR(INDEX('Domestic Mobile Operations'!$A:$AAZ,MATCH($AA152,'Domestic Mobile Operations'!$A:$A,0),MATCH(AD151,'Domestic Mobile Operations'!$1:$1,0)),"")</f>
        <v>200</v>
      </c>
      <c r="AE152" s="30">
        <f>IFERROR(INDEX('Domestic Mobile Operations'!$A:$AAZ,MATCH($AA152,'Domestic Mobile Operations'!$A:$A,0),MATCH(AE151,'Domestic Mobile Operations'!$1:$1,0)),"")</f>
        <v>200</v>
      </c>
      <c r="AF152" s="30">
        <f>IFERROR(INDEX('Domestic Mobile Operations'!$A:$AAZ,MATCH($AA152,'Domestic Mobile Operations'!$A:$A,0),MATCH(AF151,'Domestic Mobile Operations'!$1:$1,0)),"")</f>
        <v>100</v>
      </c>
      <c r="AG152" s="30">
        <f>IFERROR(INDEX('Domestic Mobile Operations'!$A:$AAZ,MATCH($AA152,'Domestic Mobile Operations'!$A:$A,0),MATCH(AG151,'Domestic Mobile Operations'!$1:$1,0)),"")</f>
        <v>-400</v>
      </c>
      <c r="AH152" s="30">
        <f>IFERROR(INDEX('Domestic Mobile Operations'!$A:$AAZ,MATCH($AA152,'Domestic Mobile Operations'!$A:$A,0),MATCH(AH151,'Domestic Mobile Operations'!$1:$1,0)),"")</f>
        <v>300</v>
      </c>
      <c r="AI152" s="30">
        <f>IFERROR(INDEX('Domestic Mobile Operations'!$A:$AAZ,MATCH($AA152,'Domestic Mobile Operations'!$A:$A,0),MATCH(AI151,'Domestic Mobile Operations'!$1:$1,0)),"")</f>
        <v>-300</v>
      </c>
      <c r="AJ152" s="30">
        <f>IFERROR(INDEX('Domestic Mobile Operations'!$A:$AAZ,MATCH($AA152,'Domestic Mobile Operations'!$A:$A,0),MATCH(AJ151,'Domestic Mobile Operations'!$1:$1,0)),"")</f>
        <v>0</v>
      </c>
      <c r="AK152" s="30">
        <f>IFERROR(INDEX('Domestic Mobile Operations'!$A:$AAZ,MATCH($AA152,'Domestic Mobile Operations'!$A:$A,0),MATCH(AK151,'Domestic Mobile Operations'!$1:$1,0)),"")</f>
        <v>0</v>
      </c>
      <c r="AL152" s="30">
        <f>IFERROR(INDEX('Domestic Mobile Operations'!$A:$AAZ,MATCH($AA152,'Domestic Mobile Operations'!$A:$A,0),MATCH(AL151,'Domestic Mobile Operations'!$1:$1,0)),"")</f>
        <v>0</v>
      </c>
      <c r="AM152" s="30">
        <f>IFERROR(INDEX('Domestic Mobile Operations'!$A:$AAZ,MATCH($AA152,'Domestic Mobile Operations'!$A:$A,0),MATCH(AM151,'Domestic Mobile Operations'!$1:$1,0)),"")</f>
        <v>0</v>
      </c>
      <c r="AN152" s="30">
        <f>IFERROR(INDEX('Domestic Mobile Operations'!$A:$AAZ,MATCH($AA152,'Domestic Mobile Operations'!$A:$A,0),MATCH(AN151,'Domestic Mobile Operations'!$1:$1,0)),"")</f>
        <v>0</v>
      </c>
      <c r="AO152" s="30">
        <f>IFERROR(INDEX('Domestic Mobile Operations'!$A:$AAZ,MATCH($AA152,'Domestic Mobile Operations'!$A:$A,0),MATCH(AO151,'Domestic Mobile Operations'!$1:$1,0)),"")</f>
        <v>0</v>
      </c>
      <c r="AP152" s="30">
        <f>IFERROR(INDEX('Domestic Mobile Operations'!$A:$AAZ,MATCH($AA152,'Domestic Mobile Operations'!$A:$A,0),MATCH(AP151,'Domestic Mobile Operations'!$1:$1,0)),"")</f>
        <v>0</v>
      </c>
      <c r="AQ152" s="30">
        <f>IFERROR(INDEX('Domestic Mobile Operations'!$A:$AAZ,MATCH($AA152,'Domestic Mobile Operations'!$A:$A,0),MATCH(AQ151,'Domestic Mobile Operations'!$1:$1,0)),"")</f>
        <v>0</v>
      </c>
      <c r="AR152" s="30">
        <f>IFERROR(INDEX('Domestic Mobile Operations'!$A:$AAZ,MATCH($AA152,'Domestic Mobile Operations'!$A:$A,0),MATCH(AR151,'Domestic Mobile Operations'!$1:$1,0)),"")</f>
        <v>0</v>
      </c>
      <c r="AS152" s="30">
        <f>IFERROR(INDEX('Domestic Mobile Operations'!$A:$AAZ,MATCH($AA152,'Domestic Mobile Operations'!$A:$A,0),MATCH(AS151,'Domestic Mobile Operations'!$1:$1,0)),"")</f>
        <v>0</v>
      </c>
      <c r="AT152" s="30">
        <f>IFERROR(INDEX('Domestic Mobile Operations'!$A:$AAZ,MATCH($AA152,'Domestic Mobile Operations'!$A:$A,0),MATCH(AT151,'Domestic Mobile Operations'!$1:$1,0)),"")</f>
        <v>0</v>
      </c>
      <c r="AU152" s="30">
        <f>IFERROR(INDEX('Domestic Mobile Operations'!$A:$AAZ,MATCH($AA152,'Domestic Mobile Operations'!$A:$A,0),MATCH(AU151,'Domestic Mobile Operations'!$1:$1,0)),"")</f>
        <v>0</v>
      </c>
    </row>
    <row r="153" spans="1:47" x14ac:dyDescent="0.35">
      <c r="A153" s="6"/>
      <c r="B153" s="6"/>
      <c r="C153" s="6"/>
      <c r="D153" s="6"/>
      <c r="E153" s="6"/>
      <c r="F153" s="6"/>
      <c r="G153" s="6"/>
      <c r="H153" s="6"/>
      <c r="I153" s="6"/>
      <c r="J153" s="6"/>
      <c r="K153" s="6"/>
      <c r="L153" s="6"/>
      <c r="M153" s="6"/>
      <c r="N153" s="6"/>
      <c r="O153" s="6"/>
      <c r="P153" s="6"/>
      <c r="Q153" s="6"/>
      <c r="R153" s="6"/>
      <c r="S153" s="6"/>
      <c r="T153" s="6"/>
      <c r="U153" s="6"/>
      <c r="V153" s="6"/>
      <c r="W153" s="6"/>
    </row>
    <row r="154" spans="1:47" x14ac:dyDescent="0.35">
      <c r="A154" s="6"/>
      <c r="B154" s="6"/>
      <c r="C154" s="6"/>
      <c r="D154" s="6"/>
      <c r="E154" s="6"/>
      <c r="F154" s="6"/>
      <c r="G154" s="6"/>
      <c r="H154" s="6"/>
      <c r="I154" s="6"/>
      <c r="J154" s="6"/>
      <c r="K154" s="6"/>
      <c r="L154" s="6"/>
      <c r="M154" s="6"/>
      <c r="N154" s="6"/>
      <c r="O154" s="6"/>
      <c r="P154" s="6"/>
      <c r="Q154" s="6"/>
      <c r="R154" s="6"/>
      <c r="S154" s="6"/>
      <c r="T154" s="6"/>
      <c r="U154" s="6"/>
      <c r="V154" s="6"/>
      <c r="W154" s="6"/>
    </row>
    <row r="155" spans="1:47" x14ac:dyDescent="0.35">
      <c r="A155" s="6"/>
      <c r="B155" s="6" t="s">
        <v>206</v>
      </c>
      <c r="C155" s="6"/>
      <c r="D155" s="6"/>
      <c r="E155" s="6"/>
      <c r="F155" s="6"/>
      <c r="G155" s="6"/>
      <c r="H155" s="6"/>
      <c r="I155" s="6"/>
      <c r="J155" s="6"/>
      <c r="K155" s="6"/>
      <c r="L155" s="6"/>
      <c r="M155" s="6"/>
      <c r="N155" s="6"/>
      <c r="O155" s="6"/>
      <c r="P155" s="6"/>
      <c r="Q155" s="6"/>
      <c r="R155" s="6"/>
      <c r="S155" s="6"/>
      <c r="T155" s="6"/>
      <c r="U155" s="6"/>
      <c r="V155" s="6"/>
      <c r="W155" s="6"/>
    </row>
    <row r="156" spans="1:47" x14ac:dyDescent="0.35">
      <c r="A156" s="6"/>
      <c r="B156" s="6"/>
      <c r="C156" s="6"/>
      <c r="D156" s="6"/>
      <c r="E156" s="6"/>
      <c r="F156" s="6"/>
      <c r="G156" s="6"/>
      <c r="H156" s="6"/>
      <c r="I156" s="6"/>
      <c r="J156" s="6"/>
      <c r="K156" s="6"/>
      <c r="L156" s="6"/>
      <c r="M156" s="6"/>
      <c r="N156" s="6"/>
      <c r="O156" s="6"/>
      <c r="P156" s="6"/>
      <c r="Q156" s="6"/>
      <c r="R156" s="6"/>
      <c r="S156" s="6"/>
      <c r="T156" s="6"/>
      <c r="U156" s="6"/>
      <c r="V156" s="6"/>
      <c r="W156" s="6"/>
    </row>
    <row r="157" spans="1:47" x14ac:dyDescent="0.35">
      <c r="A157" s="1" t="s">
        <v>33</v>
      </c>
      <c r="B157" s="1" t="s">
        <v>192</v>
      </c>
      <c r="C157" s="1"/>
      <c r="D157" s="1"/>
      <c r="E157" s="1"/>
      <c r="F157" s="1"/>
      <c r="G157" s="1"/>
      <c r="H157" s="1"/>
      <c r="I157" s="1"/>
      <c r="J157" s="1"/>
      <c r="K157" s="1" t="s">
        <v>34</v>
      </c>
      <c r="L157" s="1" t="s">
        <v>191</v>
      </c>
      <c r="M157" s="1"/>
      <c r="N157" s="1"/>
      <c r="O157" s="1"/>
      <c r="P157" s="1"/>
      <c r="Q157" s="1"/>
      <c r="R157" s="1"/>
      <c r="S157" s="1"/>
      <c r="T157" s="1"/>
      <c r="U157" s="6"/>
      <c r="V157" s="6"/>
      <c r="W157" s="6"/>
    </row>
    <row r="158" spans="1:47" x14ac:dyDescent="0.35">
      <c r="A158" s="6"/>
      <c r="B158" s="6"/>
      <c r="C158" s="6"/>
      <c r="D158" s="6"/>
      <c r="E158" s="6"/>
      <c r="F158" s="6"/>
      <c r="G158" s="6"/>
      <c r="H158" s="6"/>
      <c r="I158" s="6"/>
      <c r="J158" s="6"/>
      <c r="K158" s="6"/>
      <c r="L158" s="6"/>
      <c r="M158" s="6"/>
      <c r="N158" s="6"/>
      <c r="O158" s="6"/>
      <c r="P158" s="6"/>
      <c r="Q158" s="6"/>
      <c r="R158" s="6"/>
      <c r="S158" s="6"/>
      <c r="T158" s="6"/>
      <c r="U158" s="6"/>
      <c r="V158" s="6"/>
      <c r="W158" s="6"/>
    </row>
    <row r="159" spans="1:47" x14ac:dyDescent="0.35">
      <c r="A159" s="6"/>
      <c r="B159" s="6"/>
      <c r="C159" s="6"/>
      <c r="D159" s="6"/>
      <c r="E159" s="6"/>
      <c r="F159" s="6"/>
      <c r="G159" s="6"/>
      <c r="H159" s="6"/>
      <c r="I159" s="6"/>
      <c r="J159" s="6"/>
      <c r="K159" s="6"/>
      <c r="L159" s="6"/>
      <c r="M159" s="6"/>
      <c r="N159" s="6"/>
      <c r="O159" s="6"/>
      <c r="P159" s="6"/>
      <c r="Q159" s="6"/>
      <c r="R159" s="6"/>
      <c r="S159" s="6"/>
      <c r="T159" s="6"/>
      <c r="U159" s="6"/>
      <c r="V159" s="6"/>
      <c r="W159" s="6"/>
    </row>
    <row r="160" spans="1:47" x14ac:dyDescent="0.35">
      <c r="A160" s="6"/>
      <c r="B160" s="6"/>
      <c r="C160" s="6"/>
      <c r="D160" s="6"/>
      <c r="E160" s="6"/>
      <c r="F160" s="6"/>
      <c r="G160" s="6"/>
      <c r="H160" s="6"/>
      <c r="I160" s="6"/>
      <c r="J160" s="6"/>
      <c r="K160" s="6"/>
      <c r="L160" s="6"/>
      <c r="M160" s="6"/>
      <c r="N160" s="6"/>
      <c r="O160" s="6"/>
      <c r="P160" s="6"/>
      <c r="Q160" s="6"/>
      <c r="R160" s="6"/>
      <c r="S160" s="6"/>
      <c r="T160" s="6"/>
      <c r="U160" s="6"/>
      <c r="V160" s="6"/>
      <c r="W160" s="6"/>
      <c r="AB160" s="27">
        <f t="shared" ref="AB160" si="271">AC160-1</f>
        <v>33</v>
      </c>
      <c r="AC160" s="27">
        <f t="shared" ref="AC160" si="272">AD160-1</f>
        <v>34</v>
      </c>
      <c r="AD160" s="27">
        <f t="shared" ref="AD160" si="273">AE160-1</f>
        <v>35</v>
      </c>
      <c r="AE160" s="27">
        <f t="shared" ref="AE160" si="274">AF160-1</f>
        <v>36</v>
      </c>
      <c r="AF160" s="27">
        <f t="shared" ref="AF160" si="275">AG160-1</f>
        <v>37</v>
      </c>
      <c r="AG160" s="27">
        <f t="shared" ref="AG160" si="276">AH160-1</f>
        <v>38</v>
      </c>
      <c r="AH160" s="27">
        <f t="shared" ref="AH160" si="277">AI160-1</f>
        <v>39</v>
      </c>
      <c r="AI160" s="27">
        <f t="shared" ref="AI160" si="278">AJ160-1</f>
        <v>40</v>
      </c>
      <c r="AJ160" s="27">
        <f t="shared" ref="AJ160" si="279">AK160-1</f>
        <v>41</v>
      </c>
      <c r="AK160" s="27">
        <f t="shared" ref="AK160" si="280">AL160-1</f>
        <v>42</v>
      </c>
      <c r="AL160" s="27">
        <f t="shared" ref="AL160" si="281">AM160-1</f>
        <v>43</v>
      </c>
      <c r="AM160" s="27">
        <f t="shared" ref="AM160" si="282">AN160-1</f>
        <v>44</v>
      </c>
      <c r="AN160" s="27">
        <f t="shared" ref="AN160" si="283">AO160-1</f>
        <v>45</v>
      </c>
      <c r="AO160" s="27">
        <f t="shared" ref="AO160" si="284">AP160-1</f>
        <v>46</v>
      </c>
      <c r="AP160" s="27">
        <f t="shared" ref="AP160" si="285">AQ160-1</f>
        <v>47</v>
      </c>
      <c r="AQ160" s="27">
        <f t="shared" ref="AQ160" si="286">AR160-1</f>
        <v>48</v>
      </c>
      <c r="AR160" s="27">
        <f t="shared" ref="AR160" si="287">AS160-1</f>
        <v>49</v>
      </c>
      <c r="AS160" s="27">
        <f t="shared" ref="AS160" si="288">AT160-1</f>
        <v>50</v>
      </c>
      <c r="AT160" s="27">
        <f>AU160-1</f>
        <v>51</v>
      </c>
      <c r="AU160" s="27">
        <f>VLOOKUP(AU161,Dates!$A:$D,2,FALSE)</f>
        <v>52</v>
      </c>
    </row>
    <row r="161" spans="1:47" x14ac:dyDescent="0.35">
      <c r="A161" s="6"/>
      <c r="B161" s="6"/>
      <c r="C161" s="6"/>
      <c r="D161" s="6"/>
      <c r="E161" s="6"/>
      <c r="F161" s="6"/>
      <c r="G161" s="6"/>
      <c r="H161" s="6"/>
      <c r="I161" s="6"/>
      <c r="J161" s="6"/>
      <c r="K161" s="6"/>
      <c r="L161" s="6"/>
      <c r="M161" s="6"/>
      <c r="N161" s="6"/>
      <c r="O161" s="6"/>
      <c r="P161" s="6"/>
      <c r="Q161" s="6"/>
      <c r="R161" s="6"/>
      <c r="S161" s="6"/>
      <c r="T161" s="6"/>
      <c r="U161" s="6"/>
      <c r="V161" s="6"/>
      <c r="W161" s="6"/>
      <c r="AB161" s="27" t="str">
        <f>IFERROR(VLOOKUP(AB160,Dates!$B:$D,3,FALSE),"")</f>
        <v>1Q20</v>
      </c>
      <c r="AC161" s="27" t="str">
        <f>IFERROR(VLOOKUP(AC160,Dates!$B:$D,3,FALSE),"")</f>
        <v>2Q20</v>
      </c>
      <c r="AD161" s="27" t="str">
        <f>IFERROR(VLOOKUP(AD160,Dates!$B:$D,3,FALSE),"")</f>
        <v>3Q20</v>
      </c>
      <c r="AE161" s="27" t="str">
        <f>IFERROR(VLOOKUP(AE160,Dates!$B:$D,3,FALSE),"")</f>
        <v>4Q20</v>
      </c>
      <c r="AF161" s="27" t="str">
        <f>IFERROR(VLOOKUP(AF160,Dates!$B:$D,3,FALSE),"")</f>
        <v>1Q21</v>
      </c>
      <c r="AG161" s="27" t="str">
        <f>IFERROR(VLOOKUP(AG160,Dates!$B:$D,3,FALSE),"")</f>
        <v>2Q21</v>
      </c>
      <c r="AH161" s="27" t="str">
        <f>IFERROR(VLOOKUP(AH160,Dates!$B:$D,3,FALSE),"")</f>
        <v>3Q21</v>
      </c>
      <c r="AI161" s="27" t="str">
        <f>IFERROR(VLOOKUP(AI160,Dates!$B:$D,3,FALSE),"")</f>
        <v>4Q21</v>
      </c>
      <c r="AJ161" s="27" t="str">
        <f>IFERROR(VLOOKUP(AJ160,Dates!$B:$D,3,FALSE),"")</f>
        <v>1Q22</v>
      </c>
      <c r="AK161" s="27" t="str">
        <f>IFERROR(VLOOKUP(AK160,Dates!$B:$D,3,FALSE),"")</f>
        <v>2Q22</v>
      </c>
      <c r="AL161" s="27" t="str">
        <f>IFERROR(VLOOKUP(AL160,Dates!$B:$D,3,FALSE),"")</f>
        <v>3Q22</v>
      </c>
      <c r="AM161" s="27" t="str">
        <f>IFERROR(VLOOKUP(AM160,Dates!$B:$D,3,FALSE),"")</f>
        <v>4Q22</v>
      </c>
      <c r="AN161" s="27" t="str">
        <f>IFERROR(VLOOKUP(AN160,Dates!$B:$D,3,FALSE),"")</f>
        <v>1Q23</v>
      </c>
      <c r="AO161" s="27" t="str">
        <f>IFERROR(VLOOKUP(AO160,Dates!$B:$D,3,FALSE),"")</f>
        <v>2Q23</v>
      </c>
      <c r="AP161" s="27" t="str">
        <f>IFERROR(VLOOKUP(AP160,Dates!$B:$D,3,FALSE),"")</f>
        <v>3Q23</v>
      </c>
      <c r="AQ161" s="27" t="str">
        <f>IFERROR(VLOOKUP(AQ160,Dates!$B:$D,3,FALSE),"")</f>
        <v>4Q23</v>
      </c>
      <c r="AR161" s="27" t="str">
        <f>IFERROR(VLOOKUP(AR160,Dates!$B:$D,3,FALSE),"")</f>
        <v>1Q24</v>
      </c>
      <c r="AS161" s="27" t="str">
        <f>IFERROR(VLOOKUP(AS160,Dates!$B:$D,3,FALSE),"")</f>
        <v>2Q24</v>
      </c>
      <c r="AT161" s="27" t="str">
        <f>IFERROR(VLOOKUP(AT160,Dates!$B:$D,3,FALSE),"")</f>
        <v>3Q24</v>
      </c>
      <c r="AU161" s="28" t="str">
        <f>$G$3</f>
        <v>4Q24</v>
      </c>
    </row>
    <row r="162" spans="1:47" x14ac:dyDescent="0.35">
      <c r="A162" s="6"/>
      <c r="B162" s="6"/>
      <c r="C162" s="6"/>
      <c r="D162" s="6"/>
      <c r="E162" s="6"/>
      <c r="F162" s="6"/>
      <c r="G162" s="6"/>
      <c r="H162" s="6"/>
      <c r="I162" s="6"/>
      <c r="J162" s="6"/>
      <c r="K162" s="6"/>
      <c r="L162" s="6"/>
      <c r="M162" s="6"/>
      <c r="N162" s="6"/>
      <c r="O162" s="6"/>
      <c r="P162" s="6"/>
      <c r="Q162" s="6"/>
      <c r="R162" s="6"/>
      <c r="S162" s="6"/>
      <c r="T162" s="6"/>
      <c r="U162" s="6"/>
      <c r="V162" s="6"/>
      <c r="W162" s="6"/>
      <c r="AA162" s="29" t="str">
        <f>'Domestic Mobile Operations'!A25</f>
        <v>Average Revenue per User (ARPU) Blended, ex M2M</v>
      </c>
      <c r="AB162" s="30">
        <f>IFERROR(INDEX('Domestic Mobile Operations'!$A:$AAZ,MATCH($AA162,'Domestic Mobile Operations'!$A:$A,0),MATCH(AB161,'Domestic Mobile Operations'!$1:$1,0)),"")</f>
        <v>49</v>
      </c>
      <c r="AC162" s="30">
        <f>IFERROR(INDEX('Domestic Mobile Operations'!$A:$AAZ,MATCH($AA162,'Domestic Mobile Operations'!$A:$A,0),MATCH(AC161,'Domestic Mobile Operations'!$1:$1,0)),"")</f>
        <v>47</v>
      </c>
      <c r="AD162" s="30">
        <f>IFERROR(INDEX('Domestic Mobile Operations'!$A:$AAZ,MATCH($AA162,'Domestic Mobile Operations'!$A:$A,0),MATCH(AD161,'Domestic Mobile Operations'!$1:$1,0)),"")</f>
        <v>48.7</v>
      </c>
      <c r="AE162" s="30">
        <f>IFERROR(INDEX('Domestic Mobile Operations'!$A:$AAZ,MATCH($AA162,'Domestic Mobile Operations'!$A:$A,0),MATCH(AE161,'Domestic Mobile Operations'!$1:$1,0)),"")</f>
        <v>48.3</v>
      </c>
      <c r="AF162" s="30">
        <f>IFERROR(INDEX('Domestic Mobile Operations'!$A:$AAZ,MATCH($AA162,'Domestic Mobile Operations'!$A:$A,0),MATCH(AF161,'Domestic Mobile Operations'!$1:$1,0)),"")</f>
        <v>47.4</v>
      </c>
      <c r="AG162" s="30">
        <f>IFERROR(INDEX('Domestic Mobile Operations'!$A:$AAZ,MATCH($AA162,'Domestic Mobile Operations'!$A:$A,0),MATCH(AG161,'Domestic Mobile Operations'!$1:$1,0)),"")</f>
        <v>47</v>
      </c>
      <c r="AH162" s="30">
        <f>IFERROR(INDEX('Domestic Mobile Operations'!$A:$AAZ,MATCH($AA162,'Domestic Mobile Operations'!$A:$A,0),MATCH(AH161,'Domestic Mobile Operations'!$1:$1,0)),"")</f>
        <v>46.6</v>
      </c>
      <c r="AI162" s="30">
        <f>IFERROR(INDEX('Domestic Mobile Operations'!$A:$AAZ,MATCH($AA162,'Domestic Mobile Operations'!$A:$A,0),MATCH(AI161,'Domestic Mobile Operations'!$1:$1,0)),"")</f>
        <v>45.9</v>
      </c>
      <c r="AJ162" s="30">
        <f>IFERROR(INDEX('Domestic Mobile Operations'!$A:$AAZ,MATCH($AA162,'Domestic Mobile Operations'!$A:$A,0),MATCH(AJ161,'Domestic Mobile Operations'!$1:$1,0)),"")</f>
        <v>46.2</v>
      </c>
      <c r="AK162" s="30">
        <f>IFERROR(INDEX('Domestic Mobile Operations'!$A:$AAZ,MATCH($AA162,'Domestic Mobile Operations'!$A:$A,0),MATCH(AK161,'Domestic Mobile Operations'!$1:$1,0)),"")</f>
        <v>47.7</v>
      </c>
      <c r="AL162" s="30">
        <f>IFERROR(INDEX('Domestic Mobile Operations'!$A:$AAZ,MATCH($AA162,'Domestic Mobile Operations'!$A:$A,0),MATCH(AL161,'Domestic Mobile Operations'!$1:$1,0)),"")</f>
        <v>47.3</v>
      </c>
      <c r="AM162" s="30">
        <f>IFERROR(INDEX('Domestic Mobile Operations'!$A:$AAZ,MATCH($AA162,'Domestic Mobile Operations'!$A:$A,0),MATCH(AM161,'Domestic Mobile Operations'!$1:$1,0)),"")</f>
        <v>47.8</v>
      </c>
      <c r="AN162" s="30">
        <f>IFERROR(INDEX('Domestic Mobile Operations'!$A:$AAZ,MATCH($AA162,'Domestic Mobile Operations'!$A:$A,0),MATCH(AN161,'Domestic Mobile Operations'!$1:$1,0)),"")</f>
        <v>46.9</v>
      </c>
      <c r="AO162" s="30">
        <f>IFERROR(INDEX('Domestic Mobile Operations'!$A:$AAZ,MATCH($AA162,'Domestic Mobile Operations'!$A:$A,0),MATCH(AO161,'Domestic Mobile Operations'!$1:$1,0)),"")</f>
        <v>47</v>
      </c>
      <c r="AP162" s="30">
        <f>IFERROR(INDEX('Domestic Mobile Operations'!$A:$AAZ,MATCH($AA162,'Domestic Mobile Operations'!$A:$A,0),MATCH(AP161,'Domestic Mobile Operations'!$1:$1,0)),"")</f>
        <v>46.7</v>
      </c>
      <c r="AQ162" s="30">
        <f>IFERROR(INDEX('Domestic Mobile Operations'!$A:$AAZ,MATCH($AA162,'Domestic Mobile Operations'!$A:$A,0),MATCH(AQ161,'Domestic Mobile Operations'!$1:$1,0)),"")</f>
        <v>45.8</v>
      </c>
      <c r="AR162" s="30">
        <f>IFERROR(INDEX('Domestic Mobile Operations'!$A:$AAZ,MATCH($AA162,'Domestic Mobile Operations'!$A:$A,0),MATCH(AR161,'Domestic Mobile Operations'!$1:$1,0)),"")</f>
        <v>44.7</v>
      </c>
      <c r="AS162" s="30">
        <f>IFERROR(INDEX('Domestic Mobile Operations'!$A:$AAZ,MATCH($AA162,'Domestic Mobile Operations'!$A:$A,0),MATCH(AS161,'Domestic Mobile Operations'!$1:$1,0)),"")</f>
        <v>44.7</v>
      </c>
      <c r="AT162" s="30">
        <f>IFERROR(INDEX('Domestic Mobile Operations'!$A:$AAZ,MATCH($AA162,'Domestic Mobile Operations'!$A:$A,0),MATCH(AT161,'Domestic Mobile Operations'!$1:$1,0)),"")</f>
        <v>44.2</v>
      </c>
      <c r="AU162" s="30">
        <f>IFERROR(INDEX('Domestic Mobile Operations'!$A:$AAZ,MATCH($AA162,'Domestic Mobile Operations'!$A:$A,0),MATCH(AU161,'Domestic Mobile Operations'!$1:$1,0)),"")</f>
        <v>44.5</v>
      </c>
    </row>
    <row r="163" spans="1:47" x14ac:dyDescent="0.35">
      <c r="A163" s="6"/>
      <c r="B163" s="6"/>
      <c r="C163" s="6"/>
      <c r="D163" s="6"/>
      <c r="E163" s="6"/>
      <c r="F163" s="6"/>
      <c r="G163" s="6"/>
      <c r="H163" s="6"/>
      <c r="I163" s="6"/>
      <c r="J163" s="6"/>
      <c r="K163" s="6"/>
      <c r="L163" s="6"/>
      <c r="M163" s="6"/>
      <c r="N163" s="6"/>
      <c r="O163" s="6"/>
      <c r="P163" s="6"/>
      <c r="Q163" s="6"/>
      <c r="R163" s="6"/>
      <c r="S163" s="6"/>
      <c r="T163" s="6"/>
      <c r="U163" s="6"/>
      <c r="V163" s="6"/>
      <c r="W163" s="6"/>
    </row>
    <row r="164" spans="1:47" x14ac:dyDescent="0.35">
      <c r="A164" s="6"/>
      <c r="B164" s="6"/>
      <c r="C164" s="6"/>
      <c r="D164" s="6"/>
      <c r="E164" s="6"/>
      <c r="F164" s="6"/>
      <c r="G164" s="6"/>
      <c r="H164" s="6"/>
      <c r="I164" s="6"/>
      <c r="J164" s="6"/>
      <c r="K164" s="6"/>
      <c r="L164" s="6"/>
      <c r="M164" s="6"/>
      <c r="N164" s="6"/>
      <c r="O164" s="6"/>
      <c r="P164" s="6"/>
      <c r="Q164" s="6"/>
      <c r="R164" s="6"/>
      <c r="S164" s="6"/>
      <c r="T164" s="6"/>
      <c r="U164" s="6"/>
      <c r="V164" s="6"/>
      <c r="W164" s="6"/>
    </row>
    <row r="165" spans="1:47" x14ac:dyDescent="0.35">
      <c r="A165" s="6"/>
      <c r="B165" s="6"/>
      <c r="C165" s="6"/>
      <c r="D165" s="6"/>
      <c r="E165" s="6"/>
      <c r="F165" s="6"/>
      <c r="G165" s="6"/>
      <c r="H165" s="6"/>
      <c r="I165" s="6"/>
      <c r="J165" s="6"/>
      <c r="K165" s="6"/>
      <c r="L165" s="6"/>
      <c r="M165" s="6"/>
      <c r="N165" s="6"/>
      <c r="O165" s="6"/>
      <c r="P165" s="6"/>
      <c r="Q165" s="6"/>
      <c r="R165" s="6"/>
      <c r="S165" s="6"/>
      <c r="T165" s="6"/>
      <c r="U165" s="6"/>
      <c r="V165" s="6"/>
      <c r="W165" s="6"/>
      <c r="AB165" s="27">
        <f t="shared" ref="AB165" si="289">AC165-1</f>
        <v>33</v>
      </c>
      <c r="AC165" s="27">
        <f t="shared" ref="AC165" si="290">AD165-1</f>
        <v>34</v>
      </c>
      <c r="AD165" s="27">
        <f t="shared" ref="AD165" si="291">AE165-1</f>
        <v>35</v>
      </c>
      <c r="AE165" s="27">
        <f t="shared" ref="AE165" si="292">AF165-1</f>
        <v>36</v>
      </c>
      <c r="AF165" s="27">
        <f t="shared" ref="AF165" si="293">AG165-1</f>
        <v>37</v>
      </c>
      <c r="AG165" s="27">
        <f t="shared" ref="AG165" si="294">AH165-1</f>
        <v>38</v>
      </c>
      <c r="AH165" s="27">
        <f t="shared" ref="AH165" si="295">AI165-1</f>
        <v>39</v>
      </c>
      <c r="AI165" s="27">
        <f t="shared" ref="AI165" si="296">AJ165-1</f>
        <v>40</v>
      </c>
      <c r="AJ165" s="27">
        <f t="shared" ref="AJ165" si="297">AK165-1</f>
        <v>41</v>
      </c>
      <c r="AK165" s="27">
        <f t="shared" ref="AK165" si="298">AL165-1</f>
        <v>42</v>
      </c>
      <c r="AL165" s="27">
        <f t="shared" ref="AL165" si="299">AM165-1</f>
        <v>43</v>
      </c>
      <c r="AM165" s="27">
        <f t="shared" ref="AM165" si="300">AN165-1</f>
        <v>44</v>
      </c>
      <c r="AN165" s="27">
        <f t="shared" ref="AN165" si="301">AO165-1</f>
        <v>45</v>
      </c>
      <c r="AO165" s="27">
        <f t="shared" ref="AO165" si="302">AP165-1</f>
        <v>46</v>
      </c>
      <c r="AP165" s="27">
        <f t="shared" ref="AP165" si="303">AQ165-1</f>
        <v>47</v>
      </c>
      <c r="AQ165" s="27">
        <f t="shared" ref="AQ165" si="304">AR165-1</f>
        <v>48</v>
      </c>
      <c r="AR165" s="27">
        <f t="shared" ref="AR165" si="305">AS165-1</f>
        <v>49</v>
      </c>
      <c r="AS165" s="27">
        <f t="shared" ref="AS165" si="306">AT165-1</f>
        <v>50</v>
      </c>
      <c r="AT165" s="27">
        <f>AU165-1</f>
        <v>51</v>
      </c>
      <c r="AU165" s="27">
        <f>VLOOKUP(AU166,Dates!$A:$D,2,FALSE)</f>
        <v>52</v>
      </c>
    </row>
    <row r="166" spans="1:47" x14ac:dyDescent="0.35">
      <c r="A166" s="6"/>
      <c r="B166" s="6"/>
      <c r="C166" s="6"/>
      <c r="D166" s="6"/>
      <c r="E166" s="6"/>
      <c r="F166" s="6"/>
      <c r="G166" s="6"/>
      <c r="H166" s="6"/>
      <c r="I166" s="6"/>
      <c r="J166" s="6"/>
      <c r="K166" s="6"/>
      <c r="L166" s="6"/>
      <c r="M166" s="6"/>
      <c r="N166" s="6"/>
      <c r="O166" s="6"/>
      <c r="P166" s="6"/>
      <c r="Q166" s="6"/>
      <c r="R166" s="6"/>
      <c r="S166" s="6"/>
      <c r="T166" s="6"/>
      <c r="U166" s="6"/>
      <c r="V166" s="6"/>
      <c r="W166" s="6"/>
      <c r="AB166" s="27" t="str">
        <f>IFERROR(VLOOKUP(AB165,Dates!$B:$D,3,FALSE),"")</f>
        <v>1Q20</v>
      </c>
      <c r="AC166" s="27" t="str">
        <f>IFERROR(VLOOKUP(AC165,Dates!$B:$D,3,FALSE),"")</f>
        <v>2Q20</v>
      </c>
      <c r="AD166" s="27" t="str">
        <f>IFERROR(VLOOKUP(AD165,Dates!$B:$D,3,FALSE),"")</f>
        <v>3Q20</v>
      </c>
      <c r="AE166" s="27" t="str">
        <f>IFERROR(VLOOKUP(AE165,Dates!$B:$D,3,FALSE),"")</f>
        <v>4Q20</v>
      </c>
      <c r="AF166" s="27" t="str">
        <f>IFERROR(VLOOKUP(AF165,Dates!$B:$D,3,FALSE),"")</f>
        <v>1Q21</v>
      </c>
      <c r="AG166" s="27" t="str">
        <f>IFERROR(VLOOKUP(AG165,Dates!$B:$D,3,FALSE),"")</f>
        <v>2Q21</v>
      </c>
      <c r="AH166" s="27" t="str">
        <f>IFERROR(VLOOKUP(AH165,Dates!$B:$D,3,FALSE),"")</f>
        <v>3Q21</v>
      </c>
      <c r="AI166" s="27" t="str">
        <f>IFERROR(VLOOKUP(AI165,Dates!$B:$D,3,FALSE),"")</f>
        <v>4Q21</v>
      </c>
      <c r="AJ166" s="27" t="str">
        <f>IFERROR(VLOOKUP(AJ165,Dates!$B:$D,3,FALSE),"")</f>
        <v>1Q22</v>
      </c>
      <c r="AK166" s="27" t="str">
        <f>IFERROR(VLOOKUP(AK165,Dates!$B:$D,3,FALSE),"")</f>
        <v>2Q22</v>
      </c>
      <c r="AL166" s="27" t="str">
        <f>IFERROR(VLOOKUP(AL165,Dates!$B:$D,3,FALSE),"")</f>
        <v>3Q22</v>
      </c>
      <c r="AM166" s="27" t="str">
        <f>IFERROR(VLOOKUP(AM165,Dates!$B:$D,3,FALSE),"")</f>
        <v>4Q22</v>
      </c>
      <c r="AN166" s="27" t="str">
        <f>IFERROR(VLOOKUP(AN165,Dates!$B:$D,3,FALSE),"")</f>
        <v>1Q23</v>
      </c>
      <c r="AO166" s="27" t="str">
        <f>IFERROR(VLOOKUP(AO165,Dates!$B:$D,3,FALSE),"")</f>
        <v>2Q23</v>
      </c>
      <c r="AP166" s="27" t="str">
        <f>IFERROR(VLOOKUP(AP165,Dates!$B:$D,3,FALSE),"")</f>
        <v>3Q23</v>
      </c>
      <c r="AQ166" s="27" t="str">
        <f>IFERROR(VLOOKUP(AQ165,Dates!$B:$D,3,FALSE),"")</f>
        <v>4Q23</v>
      </c>
      <c r="AR166" s="27" t="str">
        <f>IFERROR(VLOOKUP(AR165,Dates!$B:$D,3,FALSE),"")</f>
        <v>1Q24</v>
      </c>
      <c r="AS166" s="27" t="str">
        <f>IFERROR(VLOOKUP(AS165,Dates!$B:$D,3,FALSE),"")</f>
        <v>2Q24</v>
      </c>
      <c r="AT166" s="27" t="str">
        <f>IFERROR(VLOOKUP(AT165,Dates!$B:$D,3,FALSE),"")</f>
        <v>3Q24</v>
      </c>
      <c r="AU166" s="28" t="str">
        <f>$G$3</f>
        <v>4Q24</v>
      </c>
    </row>
    <row r="167" spans="1:47" x14ac:dyDescent="0.35">
      <c r="A167" s="6"/>
      <c r="B167" s="6"/>
      <c r="C167" s="6"/>
      <c r="D167" s="6"/>
      <c r="E167" s="6"/>
      <c r="F167" s="6"/>
      <c r="G167" s="6"/>
      <c r="H167" s="6"/>
      <c r="I167" s="6"/>
      <c r="J167" s="6"/>
      <c r="K167" s="6"/>
      <c r="L167" s="6"/>
      <c r="M167" s="6"/>
      <c r="N167" s="6"/>
      <c r="O167" s="6"/>
      <c r="P167" s="6"/>
      <c r="Q167" s="6"/>
      <c r="R167" s="6"/>
      <c r="S167" s="6"/>
      <c r="T167" s="6"/>
      <c r="U167" s="6"/>
      <c r="V167" s="6"/>
      <c r="W167" s="6"/>
      <c r="AA167" s="29" t="str">
        <f>'Domestic Mobile Operations'!A51</f>
        <v>ARPU Growth</v>
      </c>
      <c r="AB167" s="31">
        <f>IFERROR(INDEX('Domestic Mobile Operations'!$A:$AAZ,MATCH($AA167,'Domestic Mobile Operations'!$A:$A,0),MATCH(AB166,'Domestic Mobile Operations'!$1:$1,0)),"")</f>
        <v>-3.9215686274509776E-2</v>
      </c>
      <c r="AC167" s="31">
        <f>IFERROR(INDEX('Domestic Mobile Operations'!$A:$AAZ,MATCH($AA167,'Domestic Mobile Operations'!$A:$A,0),MATCH(AC166,'Domestic Mobile Operations'!$1:$1,0)),"")</f>
        <v>-7.8431372549019662E-2</v>
      </c>
      <c r="AD167" s="31">
        <f>IFERROR(INDEX('Domestic Mobile Operations'!$A:$AAZ,MATCH($AA167,'Domestic Mobile Operations'!$A:$A,0),MATCH(AD166,'Domestic Mobile Operations'!$1:$1,0)),"")</f>
        <v>-4.5098039215686225E-2</v>
      </c>
      <c r="AE167" s="31">
        <f>IFERROR(INDEX('Domestic Mobile Operations'!$A:$AAZ,MATCH($AA167,'Domestic Mobile Operations'!$A:$A,0),MATCH(AE166,'Domestic Mobile Operations'!$1:$1,0)),"")</f>
        <v>-5.2941176470588269E-2</v>
      </c>
      <c r="AF167" s="31">
        <f>IFERROR(INDEX('Domestic Mobile Operations'!$A:$AAZ,MATCH($AA167,'Domestic Mobile Operations'!$A:$A,0),MATCH(AF166,'Domestic Mobile Operations'!$1:$1,0)),"")</f>
        <v>-3.2653061224489854E-2</v>
      </c>
      <c r="AG167" s="31">
        <f>IFERROR(INDEX('Domestic Mobile Operations'!$A:$AAZ,MATCH($AA167,'Domestic Mobile Operations'!$A:$A,0),MATCH(AG166,'Domestic Mobile Operations'!$1:$1,0)),"")</f>
        <v>0</v>
      </c>
      <c r="AH167" s="31">
        <f>IFERROR(INDEX('Domestic Mobile Operations'!$A:$AAZ,MATCH($AA167,'Domestic Mobile Operations'!$A:$A,0),MATCH(AH166,'Domestic Mobile Operations'!$1:$1,0)),"")</f>
        <v>-4.3121149897330624E-2</v>
      </c>
      <c r="AI167" s="31">
        <f>IFERROR(INDEX('Domestic Mobile Operations'!$A:$AAZ,MATCH($AA167,'Domestic Mobile Operations'!$A:$A,0),MATCH(AI166,'Domestic Mobile Operations'!$1:$1,0)),"")</f>
        <v>-4.9689440993788803E-2</v>
      </c>
      <c r="AJ167" s="31">
        <f>IFERROR(INDEX('Domestic Mobile Operations'!$A:$AAZ,MATCH($AA167,'Domestic Mobile Operations'!$A:$A,0),MATCH(AJ166,'Domestic Mobile Operations'!$1:$1,0)),"")</f>
        <v>-2.5316455696202445E-2</v>
      </c>
      <c r="AK167" s="31">
        <f>IFERROR(INDEX('Domestic Mobile Operations'!$A:$AAZ,MATCH($AA167,'Domestic Mobile Operations'!$A:$A,0),MATCH(AK166,'Domestic Mobile Operations'!$1:$1,0)),"")</f>
        <v>1.4893617021276562E-2</v>
      </c>
      <c r="AL167" s="31">
        <f>IFERROR(INDEX('Domestic Mobile Operations'!$A:$AAZ,MATCH($AA167,'Domestic Mobile Operations'!$A:$A,0),MATCH(AL166,'Domestic Mobile Operations'!$1:$1,0)),"")</f>
        <v>1.5021459227467782E-2</v>
      </c>
      <c r="AM167" s="31">
        <f>IFERROR(INDEX('Domestic Mobile Operations'!$A:$AAZ,MATCH($AA167,'Domestic Mobile Operations'!$A:$A,0),MATCH(AM166,'Domestic Mobile Operations'!$1:$1,0)),"")</f>
        <v>4.1394335511982572E-2</v>
      </c>
      <c r="AN167" s="31">
        <f>IFERROR(INDEX('Domestic Mobile Operations'!$A:$AAZ,MATCH($AA167,'Domestic Mobile Operations'!$A:$A,0),MATCH(AN166,'Domestic Mobile Operations'!$1:$1,0)),"")</f>
        <v>1.5151515151515138E-2</v>
      </c>
      <c r="AO167" s="31">
        <f>IFERROR(INDEX('Domestic Mobile Operations'!$A:$AAZ,MATCH($AA167,'Domestic Mobile Operations'!$A:$A,0),MATCH(AO166,'Domestic Mobile Operations'!$1:$1,0)),"")</f>
        <v>-1.4675052410901501E-2</v>
      </c>
      <c r="AP167" s="31">
        <f>IFERROR(INDEX('Domestic Mobile Operations'!$A:$AAZ,MATCH($AA167,'Domestic Mobile Operations'!$A:$A,0),MATCH(AP166,'Domestic Mobile Operations'!$1:$1,0)),"")</f>
        <v>-1.2684989429175397E-2</v>
      </c>
      <c r="AQ167" s="31">
        <f>IFERROR(INDEX('Domestic Mobile Operations'!$A:$AAZ,MATCH($AA167,'Domestic Mobile Operations'!$A:$A,0),MATCH(AQ166,'Domestic Mobile Operations'!$1:$1,0)),"")</f>
        <v>-4.1841004184100417E-2</v>
      </c>
      <c r="AR167" s="31">
        <f>IFERROR(INDEX('Domestic Mobile Operations'!$A:$AAZ,MATCH($AA167,'Domestic Mobile Operations'!$A:$A,0),MATCH(AR166,'Domestic Mobile Operations'!$1:$1,0)),"")</f>
        <v>-4.6908315565031944E-2</v>
      </c>
      <c r="AS167" s="31">
        <f>IFERROR(INDEX('Domestic Mobile Operations'!$A:$AAZ,MATCH($AA167,'Domestic Mobile Operations'!$A:$A,0),MATCH(AS166,'Domestic Mobile Operations'!$1:$1,0)),"")</f>
        <v>-4.8936170212765862E-2</v>
      </c>
      <c r="AT167" s="31">
        <f>IFERROR(INDEX('Domestic Mobile Operations'!$A:$AAZ,MATCH($AA167,'Domestic Mobile Operations'!$A:$A,0),MATCH(AT166,'Domestic Mobile Operations'!$1:$1,0)),"")</f>
        <v>-5.3533190578158418E-2</v>
      </c>
      <c r="AU167" s="31">
        <f>IFERROR(INDEX('Domestic Mobile Operations'!$A:$AAZ,MATCH($AA167,'Domestic Mobile Operations'!$A:$A,0),MATCH(AU166,'Domestic Mobile Operations'!$1:$1,0)),"")</f>
        <v>-2.8384279475982432E-2</v>
      </c>
    </row>
    <row r="168" spans="1:47" x14ac:dyDescent="0.35">
      <c r="A168" s="6"/>
      <c r="B168" s="6"/>
      <c r="C168" s="6"/>
      <c r="D168" s="6"/>
      <c r="E168" s="6"/>
      <c r="F168" s="6"/>
      <c r="G168" s="6"/>
      <c r="H168" s="6"/>
      <c r="I168" s="6"/>
      <c r="J168" s="6"/>
      <c r="K168" s="6"/>
      <c r="L168" s="6"/>
      <c r="M168" s="6"/>
      <c r="N168" s="6"/>
      <c r="O168" s="6"/>
      <c r="P168" s="6"/>
      <c r="Q168" s="6"/>
      <c r="R168" s="6"/>
      <c r="S168" s="6"/>
      <c r="T168" s="6"/>
      <c r="U168" s="6"/>
      <c r="V168" s="6"/>
      <c r="W168" s="6"/>
      <c r="AA168" s="29" t="str">
        <f>'Domestic Mobile Operations'!A58</f>
        <v>Prepaid ARPU growth (YoY)</v>
      </c>
      <c r="AB168" s="31">
        <f>IFERROR(INDEX('Domestic Mobile Operations'!$A:$AAZ,MATCH($AA168,'Domestic Mobile Operations'!$A:$A,0),MATCH(AB166,'Domestic Mobile Operations'!$1:$1,0)),"")</f>
        <v>-8.5714285714285743E-2</v>
      </c>
      <c r="AC168" s="31">
        <f>IFERROR(INDEX('Domestic Mobile Operations'!$A:$AAZ,MATCH($AA168,'Domestic Mobile Operations'!$A:$A,0),MATCH(AC166,'Domestic Mobile Operations'!$1:$1,0)),"")</f>
        <v>-0.12571428571428567</v>
      </c>
      <c r="AD168" s="31">
        <f>IFERROR(INDEX('Domestic Mobile Operations'!$A:$AAZ,MATCH($AA168,'Domestic Mobile Operations'!$A:$A,0),MATCH(AD166,'Domestic Mobile Operations'!$1:$1,0)),"")</f>
        <v>-5.428571428571427E-2</v>
      </c>
      <c r="AE168" s="31">
        <f>IFERROR(INDEX('Domestic Mobile Operations'!$A:$AAZ,MATCH($AA168,'Domestic Mobile Operations'!$A:$A,0),MATCH(AE166,'Domestic Mobile Operations'!$1:$1,0)),"")</f>
        <v>-7.4285714285714288E-2</v>
      </c>
      <c r="AF168" s="31">
        <f>IFERROR(INDEX('Domestic Mobile Operations'!$A:$AAZ,MATCH($AA168,'Domestic Mobile Operations'!$A:$A,0),MATCH(AF166,'Domestic Mobile Operations'!$1:$1,0)),"")</f>
        <v>-1.2499999999999956E-2</v>
      </c>
      <c r="AG168" s="31">
        <f>IFERROR(INDEX('Domestic Mobile Operations'!$A:$AAZ,MATCH($AA168,'Domestic Mobile Operations'!$A:$A,0),MATCH(AG166,'Domestic Mobile Operations'!$1:$1,0)),"")</f>
        <v>1.3071895424836555E-2</v>
      </c>
      <c r="AH168" s="31">
        <f>IFERROR(INDEX('Domestic Mobile Operations'!$A:$AAZ,MATCH($AA168,'Domestic Mobile Operations'!$A:$A,0),MATCH(AH166,'Domestic Mobile Operations'!$1:$1,0)),"")</f>
        <v>-7.8549848942598199E-2</v>
      </c>
      <c r="AI168" s="31">
        <f>IFERROR(INDEX('Domestic Mobile Operations'!$A:$AAZ,MATCH($AA168,'Domestic Mobile Operations'!$A:$A,0),MATCH(AI166,'Domestic Mobile Operations'!$1:$1,0)),"")</f>
        <v>-8.333333333333337E-2</v>
      </c>
      <c r="AJ168" s="31">
        <f>IFERROR(INDEX('Domestic Mobile Operations'!$A:$AAZ,MATCH($AA168,'Domestic Mobile Operations'!$A:$A,0),MATCH(AJ166,'Domestic Mobile Operations'!$1:$1,0)),"")</f>
        <v>-4.4303797468354444E-2</v>
      </c>
      <c r="AK168" s="31">
        <f>IFERROR(INDEX('Domestic Mobile Operations'!$A:$AAZ,MATCH($AA168,'Domestic Mobile Operations'!$A:$A,0),MATCH(AK166,'Domestic Mobile Operations'!$1:$1,0)),"")</f>
        <v>2.5806451612903292E-2</v>
      </c>
      <c r="AL168" s="31">
        <f>IFERROR(INDEX('Domestic Mobile Operations'!$A:$AAZ,MATCH($AA168,'Domestic Mobile Operations'!$A:$A,0),MATCH(AL166,'Domestic Mobile Operations'!$1:$1,0)),"")</f>
        <v>2.6229508196721429E-2</v>
      </c>
      <c r="AM168" s="31">
        <f>IFERROR(INDEX('Domestic Mobile Operations'!$A:$AAZ,MATCH($AA168,'Domestic Mobile Operations'!$A:$A,0),MATCH(AM166,'Domestic Mobile Operations'!$1:$1,0)),"")</f>
        <v>7.0707070707070718E-2</v>
      </c>
      <c r="AN168" s="31">
        <f>IFERROR(INDEX('Domestic Mobile Operations'!$A:$AAZ,MATCH($AA168,'Domestic Mobile Operations'!$A:$A,0),MATCH(AN166,'Domestic Mobile Operations'!$1:$1,0)),"")</f>
        <v>1.655629139072845E-2</v>
      </c>
      <c r="AO168" s="31">
        <f>IFERROR(INDEX('Domestic Mobile Operations'!$A:$AAZ,MATCH($AA168,'Domestic Mobile Operations'!$A:$A,0),MATCH(AO166,'Domestic Mobile Operations'!$1:$1,0)),"")</f>
        <v>-3.1446540880503138E-2</v>
      </c>
      <c r="AP168" s="31">
        <f>IFERROR(INDEX('Domestic Mobile Operations'!$A:$AAZ,MATCH($AA168,'Domestic Mobile Operations'!$A:$A,0),MATCH(AP166,'Domestic Mobile Operations'!$1:$1,0)),"")</f>
        <v>-1.9169329073482455E-2</v>
      </c>
      <c r="AQ168" s="31">
        <f>IFERROR(INDEX('Domestic Mobile Operations'!$A:$AAZ,MATCH($AA168,'Domestic Mobile Operations'!$A:$A,0),MATCH(AQ166,'Domestic Mobile Operations'!$1:$1,0)),"")</f>
        <v>-6.9182389937106903E-2</v>
      </c>
      <c r="AR168" s="31">
        <f>IFERROR(INDEX('Domestic Mobile Operations'!$A:$AAZ,MATCH($AA168,'Domestic Mobile Operations'!$A:$A,0),MATCH(AR166,'Domestic Mobile Operations'!$1:$1,0)),"")</f>
        <v>-6.514657980456029E-2</v>
      </c>
      <c r="AS168" s="31">
        <f>IFERROR(INDEX('Domestic Mobile Operations'!$A:$AAZ,MATCH($AA168,'Domestic Mobile Operations'!$A:$A,0),MATCH(AS166,'Domestic Mobile Operations'!$1:$1,0)),"")</f>
        <v>-6.1688311688311792E-2</v>
      </c>
      <c r="AT168" s="31">
        <f>IFERROR(INDEX('Domestic Mobile Operations'!$A:$AAZ,MATCH($AA168,'Domestic Mobile Operations'!$A:$A,0),MATCH(AT166,'Domestic Mobile Operations'!$1:$1,0)),"")</f>
        <v>-7.4918566775244333E-2</v>
      </c>
      <c r="AU168" s="31">
        <f>IFERROR(INDEX('Domestic Mobile Operations'!$A:$AAZ,MATCH($AA168,'Domestic Mobile Operations'!$A:$A,0),MATCH(AU166,'Domestic Mobile Operations'!$1:$1,0)),"")</f>
        <v>-5.0675675675675658E-2</v>
      </c>
    </row>
    <row r="169" spans="1:47" x14ac:dyDescent="0.35">
      <c r="A169" s="6"/>
      <c r="B169" s="6"/>
      <c r="C169" s="6"/>
      <c r="D169" s="6"/>
      <c r="E169" s="6"/>
      <c r="F169" s="6"/>
      <c r="G169" s="6"/>
      <c r="H169" s="6"/>
      <c r="I169" s="6"/>
      <c r="J169" s="6"/>
      <c r="K169" s="6"/>
      <c r="L169" s="6"/>
      <c r="M169" s="6"/>
      <c r="N169" s="6"/>
      <c r="O169" s="6"/>
      <c r="P169" s="6"/>
      <c r="Q169" s="6"/>
      <c r="R169" s="6"/>
      <c r="S169" s="6"/>
      <c r="T169" s="6"/>
      <c r="U169" s="6"/>
      <c r="V169" s="6"/>
      <c r="W169" s="6"/>
      <c r="AA169" s="29" t="str">
        <f>'Domestic Mobile Operations'!A59</f>
        <v>Postpaid ARPU growth (YoY)</v>
      </c>
      <c r="AB169" s="31">
        <f>IFERROR(INDEX('Domestic Mobile Operations'!$A:$AAZ,MATCH($AA169,'Domestic Mobile Operations'!$A:$A,0),MATCH(AB166,'Domestic Mobile Operations'!$1:$1,0)),"")</f>
        <v>-7.9545454545454586E-2</v>
      </c>
      <c r="AC169" s="31">
        <f>IFERROR(INDEX('Domestic Mobile Operations'!$A:$AAZ,MATCH($AA169,'Domestic Mobile Operations'!$A:$A,0),MATCH(AC166,'Domestic Mobile Operations'!$1:$1,0)),"")</f>
        <v>-7.5581395348837233E-2</v>
      </c>
      <c r="AD169" s="31">
        <f>IFERROR(INDEX('Domestic Mobile Operations'!$A:$AAZ,MATCH($AA169,'Domestic Mobile Operations'!$A:$A,0),MATCH(AD166,'Domestic Mobile Operations'!$1:$1,0)),"")</f>
        <v>-7.7647058823529291E-2</v>
      </c>
      <c r="AE169" s="31">
        <f>IFERROR(INDEX('Domestic Mobile Operations'!$A:$AAZ,MATCH($AA169,'Domestic Mobile Operations'!$A:$A,0),MATCH(AE166,'Domestic Mobile Operations'!$1:$1,0)),"")</f>
        <v>-7.9761904761904812E-2</v>
      </c>
      <c r="AF169" s="31">
        <f>IFERROR(INDEX('Domestic Mobile Operations'!$A:$AAZ,MATCH($AA169,'Domestic Mobile Operations'!$A:$A,0),MATCH(AF166,'Domestic Mobile Operations'!$1:$1,0)),"")</f>
        <v>-6.1728395061728447E-2</v>
      </c>
      <c r="AG169" s="31">
        <f>IFERROR(INDEX('Domestic Mobile Operations'!$A:$AAZ,MATCH($AA169,'Domestic Mobile Operations'!$A:$A,0),MATCH(AG166,'Domestic Mobile Operations'!$1:$1,0)),"")</f>
        <v>-5.1572327044025035E-2</v>
      </c>
      <c r="AH169" s="31">
        <f>IFERROR(INDEX('Domestic Mobile Operations'!$A:$AAZ,MATCH($AA169,'Domestic Mobile Operations'!$A:$A,0),MATCH(AH166,'Domestic Mobile Operations'!$1:$1,0)),"")</f>
        <v>-4.3367346938775531E-2</v>
      </c>
      <c r="AI169" s="31">
        <f>IFERROR(INDEX('Domestic Mobile Operations'!$A:$AAZ,MATCH($AA169,'Domestic Mobile Operations'!$A:$A,0),MATCH(AI166,'Domestic Mobile Operations'!$1:$1,0)),"")</f>
        <v>-5.0452781371280619E-2</v>
      </c>
      <c r="AJ169" s="31">
        <f>IFERROR(INDEX('Domestic Mobile Operations'!$A:$AAZ,MATCH($AA169,'Domestic Mobile Operations'!$A:$A,0),MATCH(AJ166,'Domestic Mobile Operations'!$1:$1,0)),"")</f>
        <v>-4.6052631578947345E-2</v>
      </c>
      <c r="AK169" s="31">
        <f>IFERROR(INDEX('Domestic Mobile Operations'!$A:$AAZ,MATCH($AA169,'Domestic Mobile Operations'!$A:$A,0),MATCH(AK166,'Domestic Mobile Operations'!$1:$1,0)),"")</f>
        <v>-3.5809018567639295E-2</v>
      </c>
      <c r="AL169" s="31">
        <f>IFERROR(INDEX('Domestic Mobile Operations'!$A:$AAZ,MATCH($AA169,'Domestic Mobile Operations'!$A:$A,0),MATCH(AL166,'Domestic Mobile Operations'!$1:$1,0)),"")</f>
        <v>-2.9333333333333322E-2</v>
      </c>
      <c r="AM169" s="31">
        <f>IFERROR(INDEX('Domestic Mobile Operations'!$A:$AAZ,MATCH($AA169,'Domestic Mobile Operations'!$A:$A,0),MATCH(AM166,'Domestic Mobile Operations'!$1:$1,0)),"")</f>
        <v>-9.5367847411444995E-3</v>
      </c>
      <c r="AN169" s="31">
        <f>IFERROR(INDEX('Domestic Mobile Operations'!$A:$AAZ,MATCH($AA169,'Domestic Mobile Operations'!$A:$A,0),MATCH(AN166,'Domestic Mobile Operations'!$1:$1,0)),"")</f>
        <v>-1.6551724137931045E-2</v>
      </c>
      <c r="AO169" s="31">
        <f>IFERROR(INDEX('Domestic Mobile Operations'!$A:$AAZ,MATCH($AA169,'Domestic Mobile Operations'!$A:$A,0),MATCH(AO166,'Domestic Mobile Operations'!$1:$1,0)),"")</f>
        <v>-2.3383768913342595E-2</v>
      </c>
      <c r="AP169" s="31">
        <f>IFERROR(INDEX('Domestic Mobile Operations'!$A:$AAZ,MATCH($AA169,'Domestic Mobile Operations'!$A:$A,0),MATCH(AP166,'Domestic Mobile Operations'!$1:$1,0)),"")</f>
        <v>-3.5714285714285587E-2</v>
      </c>
      <c r="AQ169" s="31">
        <f>IFERROR(INDEX('Domestic Mobile Operations'!$A:$AAZ,MATCH($AA169,'Domestic Mobile Operations'!$A:$A,0),MATCH(AQ166,'Domestic Mobile Operations'!$1:$1,0)),"")</f>
        <v>-3.9889958734525499E-2</v>
      </c>
      <c r="AR169" s="31">
        <f>IFERROR(INDEX('Domestic Mobile Operations'!$A:$AAZ,MATCH($AA169,'Domestic Mobile Operations'!$A:$A,0),MATCH(AR166,'Domestic Mobile Operations'!$1:$1,0)),"")</f>
        <v>-4.2075736325385749E-2</v>
      </c>
      <c r="AS169" s="31">
        <f>IFERROR(INDEX('Domestic Mobile Operations'!$A:$AAZ,MATCH($AA169,'Domestic Mobile Operations'!$A:$A,0),MATCH(AS166,'Domestic Mobile Operations'!$1:$1,0)),"")</f>
        <v>-4.9295774647887369E-2</v>
      </c>
      <c r="AT169" s="31">
        <f>IFERROR(INDEX('Domestic Mobile Operations'!$A:$AAZ,MATCH($AA169,'Domestic Mobile Operations'!$A:$A,0),MATCH(AT166,'Domestic Mobile Operations'!$1:$1,0)),"")</f>
        <v>-4.5584045584045607E-2</v>
      </c>
      <c r="AU169" s="31">
        <f>IFERROR(INDEX('Domestic Mobile Operations'!$A:$AAZ,MATCH($AA169,'Domestic Mobile Operations'!$A:$A,0),MATCH(AU166,'Domestic Mobile Operations'!$1:$1,0)),"")</f>
        <v>-3.1518624641833859E-2</v>
      </c>
    </row>
    <row r="170" spans="1:47" x14ac:dyDescent="0.35">
      <c r="A170" s="6"/>
      <c r="B170" s="6"/>
      <c r="C170" s="6"/>
      <c r="D170" s="6"/>
      <c r="E170" s="6"/>
      <c r="F170" s="6"/>
      <c r="G170" s="6"/>
      <c r="H170" s="6"/>
      <c r="I170" s="6"/>
      <c r="J170" s="6"/>
      <c r="K170" s="6"/>
      <c r="L170" s="6"/>
      <c r="M170" s="6"/>
      <c r="N170" s="6"/>
      <c r="O170" s="6"/>
      <c r="P170" s="6"/>
      <c r="Q170" s="6"/>
      <c r="R170" s="6"/>
      <c r="S170" s="6"/>
      <c r="T170" s="6"/>
      <c r="U170" s="6"/>
      <c r="V170" s="6"/>
      <c r="W170" s="6"/>
    </row>
    <row r="171" spans="1:47" x14ac:dyDescent="0.35">
      <c r="A171" s="6"/>
      <c r="B171" s="6"/>
      <c r="C171" s="6"/>
      <c r="D171" s="6"/>
      <c r="E171" s="6"/>
      <c r="F171" s="6"/>
      <c r="G171" s="6"/>
      <c r="H171" s="6"/>
      <c r="I171" s="6"/>
      <c r="J171" s="6"/>
      <c r="K171" s="6"/>
      <c r="L171" s="6"/>
      <c r="M171" s="6"/>
      <c r="N171" s="6"/>
      <c r="O171" s="6"/>
      <c r="P171" s="6"/>
      <c r="Q171" s="6"/>
      <c r="R171" s="6"/>
      <c r="S171" s="6"/>
      <c r="T171" s="6"/>
      <c r="U171" s="6"/>
      <c r="V171" s="6"/>
      <c r="W171" s="6"/>
    </row>
    <row r="172" spans="1:47" x14ac:dyDescent="0.35">
      <c r="A172" s="6"/>
      <c r="B172" s="6"/>
      <c r="C172" s="6"/>
      <c r="D172" s="6"/>
      <c r="E172" s="6"/>
      <c r="F172" s="6"/>
      <c r="G172" s="6"/>
      <c r="H172" s="6"/>
      <c r="I172" s="6"/>
      <c r="J172" s="6"/>
      <c r="K172" s="6"/>
      <c r="L172" s="6"/>
      <c r="M172" s="6"/>
      <c r="N172" s="6"/>
      <c r="O172" s="6"/>
      <c r="P172" s="6"/>
      <c r="Q172" s="6"/>
      <c r="R172" s="6"/>
      <c r="S172" s="6"/>
      <c r="T172" s="6"/>
      <c r="U172" s="6"/>
      <c r="V172" s="6"/>
      <c r="W172" s="6"/>
    </row>
    <row r="173" spans="1:47" x14ac:dyDescent="0.35">
      <c r="A173" s="6"/>
      <c r="B173" s="6"/>
      <c r="C173" s="6"/>
      <c r="D173" s="6"/>
      <c r="E173" s="6"/>
      <c r="F173" s="6"/>
      <c r="G173" s="6"/>
      <c r="H173" s="6"/>
      <c r="I173" s="6"/>
      <c r="J173" s="6"/>
      <c r="K173" s="6"/>
      <c r="L173" s="6"/>
      <c r="M173" s="6"/>
      <c r="N173" s="6"/>
      <c r="O173" s="6"/>
      <c r="P173" s="6"/>
      <c r="Q173" s="6"/>
      <c r="R173" s="6"/>
      <c r="S173" s="6"/>
      <c r="T173" s="6"/>
      <c r="U173" s="6"/>
      <c r="V173" s="6"/>
      <c r="W173" s="6"/>
    </row>
    <row r="174" spans="1:47" x14ac:dyDescent="0.35">
      <c r="A174" s="6"/>
      <c r="B174" s="6"/>
      <c r="C174" s="6"/>
      <c r="D174" s="6"/>
      <c r="E174" s="6"/>
      <c r="F174" s="6"/>
      <c r="G174" s="6"/>
      <c r="H174" s="6"/>
      <c r="I174" s="6"/>
      <c r="J174" s="6"/>
      <c r="K174" s="6"/>
      <c r="L174" s="6"/>
      <c r="M174" s="6"/>
      <c r="N174" s="6"/>
      <c r="O174" s="6"/>
      <c r="P174" s="6"/>
      <c r="Q174" s="6"/>
      <c r="R174" s="6"/>
      <c r="S174" s="6"/>
      <c r="T174" s="6"/>
      <c r="U174" s="6"/>
      <c r="V174" s="6"/>
      <c r="W174" s="6"/>
    </row>
    <row r="175" spans="1:47" x14ac:dyDescent="0.35">
      <c r="A175" s="6"/>
      <c r="B175" s="6"/>
      <c r="C175" s="6"/>
      <c r="D175" s="6"/>
      <c r="E175" s="6"/>
      <c r="F175" s="6"/>
      <c r="G175" s="6"/>
      <c r="H175" s="6"/>
      <c r="I175" s="6"/>
      <c r="J175" s="6"/>
      <c r="K175" s="6"/>
      <c r="L175" s="6"/>
      <c r="M175" s="6"/>
      <c r="N175" s="6"/>
      <c r="O175" s="6"/>
      <c r="P175" s="6"/>
      <c r="Q175" s="6"/>
      <c r="R175" s="6"/>
      <c r="S175" s="6"/>
      <c r="T175" s="6"/>
      <c r="U175" s="6"/>
      <c r="V175" s="6"/>
      <c r="W175" s="6"/>
    </row>
    <row r="176" spans="1:47" x14ac:dyDescent="0.35">
      <c r="A176" s="6"/>
      <c r="B176" s="6"/>
      <c r="C176" s="6"/>
      <c r="D176" s="6"/>
      <c r="E176" s="6"/>
      <c r="F176" s="6"/>
      <c r="G176" s="6"/>
      <c r="H176" s="6"/>
      <c r="I176" s="6"/>
      <c r="J176" s="6"/>
      <c r="K176" s="6"/>
      <c r="L176" s="6"/>
      <c r="M176" s="6"/>
      <c r="N176" s="6"/>
      <c r="O176" s="6"/>
      <c r="P176" s="6"/>
      <c r="Q176" s="6"/>
      <c r="R176" s="6"/>
      <c r="S176" s="6"/>
      <c r="T176" s="6"/>
      <c r="U176" s="6"/>
      <c r="V176" s="6"/>
      <c r="W176" s="6"/>
    </row>
    <row r="177" spans="1:47" x14ac:dyDescent="0.35">
      <c r="A177" s="1" t="s">
        <v>57</v>
      </c>
      <c r="B177" s="1"/>
      <c r="C177" s="1"/>
      <c r="D177" s="1"/>
      <c r="E177" s="1"/>
      <c r="F177" s="1"/>
      <c r="G177" s="1"/>
      <c r="H177" s="1"/>
      <c r="I177" s="1"/>
      <c r="J177" s="1"/>
      <c r="K177" s="1"/>
      <c r="L177" s="1"/>
      <c r="M177" s="1"/>
      <c r="N177" s="1"/>
      <c r="O177" s="1"/>
      <c r="P177" s="1"/>
      <c r="Q177" s="1"/>
      <c r="R177" s="1"/>
      <c r="S177" s="1"/>
      <c r="T177" s="1"/>
      <c r="U177" s="6"/>
      <c r="V177" s="6"/>
      <c r="W177" s="6"/>
    </row>
    <row r="178" spans="1:47" x14ac:dyDescent="0.35">
      <c r="A178" s="1" t="s">
        <v>27</v>
      </c>
      <c r="B178" s="1" t="s">
        <v>146</v>
      </c>
      <c r="C178" s="1"/>
      <c r="D178" s="1"/>
      <c r="E178" s="1"/>
      <c r="F178" s="1"/>
      <c r="G178" s="1"/>
      <c r="H178" s="1"/>
      <c r="I178" s="1"/>
      <c r="J178" s="1"/>
      <c r="K178" s="1" t="s">
        <v>28</v>
      </c>
      <c r="L178" s="1" t="s">
        <v>97</v>
      </c>
      <c r="M178" s="1"/>
      <c r="N178" s="1"/>
      <c r="O178" s="1"/>
      <c r="P178" s="1"/>
      <c r="Q178" s="1"/>
      <c r="R178" s="1"/>
      <c r="S178" s="1"/>
      <c r="T178" s="1"/>
      <c r="U178" s="6"/>
      <c r="V178" s="6"/>
      <c r="W178" s="6"/>
    </row>
    <row r="179" spans="1:47" x14ac:dyDescent="0.35">
      <c r="A179" s="6"/>
      <c r="B179" s="6"/>
      <c r="C179" s="6"/>
      <c r="D179" s="6"/>
      <c r="E179" s="6"/>
      <c r="F179" s="6"/>
      <c r="G179" s="6"/>
      <c r="H179" s="6"/>
      <c r="I179" s="6"/>
      <c r="J179" s="6"/>
      <c r="K179" s="6"/>
      <c r="L179" s="6"/>
      <c r="M179" s="6"/>
      <c r="N179" s="6"/>
      <c r="O179" s="6"/>
      <c r="P179" s="6"/>
      <c r="Q179" s="6"/>
      <c r="R179" s="6"/>
      <c r="S179" s="6"/>
      <c r="T179" s="6"/>
      <c r="U179" s="6"/>
      <c r="V179" s="6"/>
      <c r="W179" s="6"/>
    </row>
    <row r="180" spans="1:47" x14ac:dyDescent="0.35">
      <c r="A180" s="6"/>
      <c r="B180" s="6"/>
      <c r="C180" s="6"/>
      <c r="D180" s="6"/>
      <c r="E180" s="6"/>
      <c r="F180" s="6"/>
      <c r="G180" s="6"/>
      <c r="H180" s="6"/>
      <c r="I180" s="6"/>
      <c r="J180" s="6"/>
      <c r="K180" s="6"/>
      <c r="L180" s="6"/>
      <c r="M180" s="6"/>
      <c r="N180" s="6"/>
      <c r="O180" s="6"/>
      <c r="P180" s="6"/>
      <c r="Q180" s="6"/>
      <c r="R180" s="6"/>
      <c r="S180" s="6"/>
      <c r="T180" s="6"/>
      <c r="U180" s="6"/>
      <c r="V180" s="6"/>
      <c r="W180" s="6"/>
      <c r="AB180" s="27">
        <f t="shared" ref="AB180" si="307">AC180-1</f>
        <v>33</v>
      </c>
      <c r="AC180" s="27">
        <f t="shared" ref="AC180" si="308">AD180-1</f>
        <v>34</v>
      </c>
      <c r="AD180" s="27">
        <f t="shared" ref="AD180" si="309">AE180-1</f>
        <v>35</v>
      </c>
      <c r="AE180" s="27">
        <f t="shared" ref="AE180" si="310">AF180-1</f>
        <v>36</v>
      </c>
      <c r="AF180" s="27">
        <f t="shared" ref="AF180" si="311">AG180-1</f>
        <v>37</v>
      </c>
      <c r="AG180" s="27">
        <f t="shared" ref="AG180" si="312">AH180-1</f>
        <v>38</v>
      </c>
      <c r="AH180" s="27">
        <f t="shared" ref="AH180" si="313">AI180-1</f>
        <v>39</v>
      </c>
      <c r="AI180" s="27">
        <f t="shared" ref="AI180" si="314">AJ180-1</f>
        <v>40</v>
      </c>
      <c r="AJ180" s="27">
        <f t="shared" ref="AJ180" si="315">AK180-1</f>
        <v>41</v>
      </c>
      <c r="AK180" s="27">
        <f t="shared" ref="AK180" si="316">AL180-1</f>
        <v>42</v>
      </c>
      <c r="AL180" s="27">
        <f t="shared" ref="AL180" si="317">AM180-1</f>
        <v>43</v>
      </c>
      <c r="AM180" s="27">
        <f t="shared" ref="AM180" si="318">AN180-1</f>
        <v>44</v>
      </c>
      <c r="AN180" s="27">
        <f t="shared" ref="AN180" si="319">AO180-1</f>
        <v>45</v>
      </c>
      <c r="AO180" s="27">
        <f t="shared" ref="AO180" si="320">AP180-1</f>
        <v>46</v>
      </c>
      <c r="AP180" s="27">
        <f t="shared" ref="AP180" si="321">AQ180-1</f>
        <v>47</v>
      </c>
      <c r="AQ180" s="27">
        <f t="shared" ref="AQ180" si="322">AR180-1</f>
        <v>48</v>
      </c>
      <c r="AR180" s="27">
        <f t="shared" ref="AR180" si="323">AS180-1</f>
        <v>49</v>
      </c>
      <c r="AS180" s="27">
        <f t="shared" ref="AS180" si="324">AT180-1</f>
        <v>50</v>
      </c>
      <c r="AT180" s="27">
        <f>AU180-1</f>
        <v>51</v>
      </c>
      <c r="AU180" s="27">
        <f>VLOOKUP(AU181,Dates!$A:$D,2,FALSE)</f>
        <v>52</v>
      </c>
    </row>
    <row r="181" spans="1:47" x14ac:dyDescent="0.35">
      <c r="A181" s="6"/>
      <c r="B181" s="6"/>
      <c r="C181" s="6"/>
      <c r="D181" s="6"/>
      <c r="E181" s="6"/>
      <c r="F181" s="6"/>
      <c r="G181" s="6"/>
      <c r="H181" s="6"/>
      <c r="I181" s="6"/>
      <c r="J181" s="6"/>
      <c r="K181" s="6"/>
      <c r="L181" s="6"/>
      <c r="M181" s="6"/>
      <c r="N181" s="6"/>
      <c r="O181" s="6"/>
      <c r="P181" s="6"/>
      <c r="Q181" s="6"/>
      <c r="R181" s="6"/>
      <c r="S181" s="6"/>
      <c r="T181" s="6"/>
      <c r="U181" s="6"/>
      <c r="V181" s="6"/>
      <c r="W181" s="6"/>
      <c r="AB181" s="27" t="str">
        <f>IFERROR(VLOOKUP(AB180,Dates!$B:$D,3,FALSE),"")</f>
        <v>1Q20</v>
      </c>
      <c r="AC181" s="27" t="str">
        <f>IFERROR(VLOOKUP(AC180,Dates!$B:$D,3,FALSE),"")</f>
        <v>2Q20</v>
      </c>
      <c r="AD181" s="27" t="str">
        <f>IFERROR(VLOOKUP(AD180,Dates!$B:$D,3,FALSE),"")</f>
        <v>3Q20</v>
      </c>
      <c r="AE181" s="27" t="str">
        <f>IFERROR(VLOOKUP(AE180,Dates!$B:$D,3,FALSE),"")</f>
        <v>4Q20</v>
      </c>
      <c r="AF181" s="27" t="str">
        <f>IFERROR(VLOOKUP(AF180,Dates!$B:$D,3,FALSE),"")</f>
        <v>1Q21</v>
      </c>
      <c r="AG181" s="27" t="str">
        <f>IFERROR(VLOOKUP(AG180,Dates!$B:$D,3,FALSE),"")</f>
        <v>2Q21</v>
      </c>
      <c r="AH181" s="27" t="str">
        <f>IFERROR(VLOOKUP(AH180,Dates!$B:$D,3,FALSE),"")</f>
        <v>3Q21</v>
      </c>
      <c r="AI181" s="27" t="str">
        <f>IFERROR(VLOOKUP(AI180,Dates!$B:$D,3,FALSE),"")</f>
        <v>4Q21</v>
      </c>
      <c r="AJ181" s="27" t="str">
        <f>IFERROR(VLOOKUP(AJ180,Dates!$B:$D,3,FALSE),"")</f>
        <v>1Q22</v>
      </c>
      <c r="AK181" s="27" t="str">
        <f>IFERROR(VLOOKUP(AK180,Dates!$B:$D,3,FALSE),"")</f>
        <v>2Q22</v>
      </c>
      <c r="AL181" s="27" t="str">
        <f>IFERROR(VLOOKUP(AL180,Dates!$B:$D,3,FALSE),"")</f>
        <v>3Q22</v>
      </c>
      <c r="AM181" s="27" t="str">
        <f>IFERROR(VLOOKUP(AM180,Dates!$B:$D,3,FALSE),"")</f>
        <v>4Q22</v>
      </c>
      <c r="AN181" s="27" t="str">
        <f>IFERROR(VLOOKUP(AN180,Dates!$B:$D,3,FALSE),"")</f>
        <v>1Q23</v>
      </c>
      <c r="AO181" s="27" t="str">
        <f>IFERROR(VLOOKUP(AO180,Dates!$B:$D,3,FALSE),"")</f>
        <v>2Q23</v>
      </c>
      <c r="AP181" s="27" t="str">
        <f>IFERROR(VLOOKUP(AP180,Dates!$B:$D,3,FALSE),"")</f>
        <v>3Q23</v>
      </c>
      <c r="AQ181" s="27" t="str">
        <f>IFERROR(VLOOKUP(AQ180,Dates!$B:$D,3,FALSE),"")</f>
        <v>4Q23</v>
      </c>
      <c r="AR181" s="27" t="str">
        <f>IFERROR(VLOOKUP(AR180,Dates!$B:$D,3,FALSE),"")</f>
        <v>1Q24</v>
      </c>
      <c r="AS181" s="27" t="str">
        <f>IFERROR(VLOOKUP(AS180,Dates!$B:$D,3,FALSE),"")</f>
        <v>2Q24</v>
      </c>
      <c r="AT181" s="27" t="str">
        <f>IFERROR(VLOOKUP(AT180,Dates!$B:$D,3,FALSE),"")</f>
        <v>3Q24</v>
      </c>
      <c r="AU181" s="28" t="str">
        <f>$G$3</f>
        <v>4Q24</v>
      </c>
    </row>
    <row r="182" spans="1:47" x14ac:dyDescent="0.35">
      <c r="A182" s="6"/>
      <c r="B182" s="6"/>
      <c r="C182" s="6"/>
      <c r="D182" s="6"/>
      <c r="E182" s="6"/>
      <c r="F182" s="6"/>
      <c r="G182" s="6"/>
      <c r="H182" s="6"/>
      <c r="I182" s="6"/>
      <c r="J182" s="6"/>
      <c r="K182" s="6"/>
      <c r="L182" s="6"/>
      <c r="M182" s="6"/>
      <c r="N182" s="6"/>
      <c r="O182" s="6"/>
      <c r="P182" s="6"/>
      <c r="Q182" s="6"/>
      <c r="R182" s="6"/>
      <c r="S182" s="6"/>
      <c r="T182" s="6"/>
      <c r="U182" s="6"/>
      <c r="V182" s="6"/>
      <c r="W182" s="6"/>
      <c r="AA182" s="29" t="str">
        <f>'Profit and Loss Highlights'!B55</f>
        <v>Underlying EBITDA</v>
      </c>
      <c r="AB182" s="30">
        <f>IFERROR(INDEX('Profit and Loss Highlights'!$A:$AAY,MATCH($AA182,'Profit and Loss Highlights'!$B:$B,0),MATCH(AB181,'Profit and Loss Highlights'!$1:$1,0)),"")</f>
        <v>962</v>
      </c>
      <c r="AC182" s="30">
        <f>IFERROR(INDEX('Profit and Loss Highlights'!$A:$AAY,MATCH($AA182,'Profit and Loss Highlights'!$B:$B,0),MATCH(AC181,'Profit and Loss Highlights'!$1:$1,0)),"")</f>
        <v>946</v>
      </c>
      <c r="AD182" s="30">
        <f>IFERROR(INDEX('Profit and Loss Highlights'!$A:$AAY,MATCH($AA182,'Profit and Loss Highlights'!$B:$B,0),MATCH(AD181,'Profit and Loss Highlights'!$1:$1,0)),"")</f>
        <v>967</v>
      </c>
      <c r="AE182" s="30">
        <f>IFERROR(INDEX('Profit and Loss Highlights'!$A:$AAY,MATCH($AA182,'Profit and Loss Highlights'!$B:$B,0),MATCH(AE181,'Profit and Loss Highlights'!$1:$1,0)),"")</f>
        <v>939</v>
      </c>
      <c r="AF182" s="30">
        <f>IFERROR(INDEX('Profit and Loss Highlights'!$A:$AAY,MATCH($AA182,'Profit and Loss Highlights'!$B:$B,0),MATCH(AF181,'Profit and Loss Highlights'!$1:$1,0)),"")</f>
        <v>961</v>
      </c>
      <c r="AG182" s="30">
        <f>IFERROR(INDEX('Profit and Loss Highlights'!$A:$AAY,MATCH($AA182,'Profit and Loss Highlights'!$B:$B,0),MATCH(AG181,'Profit and Loss Highlights'!$1:$1,0)),"")</f>
        <v>1006</v>
      </c>
      <c r="AH182" s="30">
        <f>IFERROR(INDEX('Profit and Loss Highlights'!$A:$AAY,MATCH($AA182,'Profit and Loss Highlights'!$B:$B,0),MATCH(AH181,'Profit and Loss Highlights'!$1:$1,0)),"")</f>
        <v>977</v>
      </c>
      <c r="AI182" s="30">
        <f>IFERROR(INDEX('Profit and Loss Highlights'!$A:$AAY,MATCH($AA182,'Profit and Loss Highlights'!$B:$B,0),MATCH(AI181,'Profit and Loss Highlights'!$1:$1,0)),"")</f>
        <v>932</v>
      </c>
      <c r="AJ182" s="30">
        <f>IFERROR(INDEX('Profit and Loss Highlights'!$A:$AAY,MATCH($AA182,'Profit and Loss Highlights'!$B:$B,0),MATCH(AJ181,'Profit and Loss Highlights'!$1:$1,0)),"")</f>
        <v>927</v>
      </c>
      <c r="AK182" s="30">
        <f>IFERROR(INDEX('Profit and Loss Highlights'!$A:$AAY,MATCH($AA182,'Profit and Loss Highlights'!$B:$B,0),MATCH(AK181,'Profit and Loss Highlights'!$1:$1,0)),"")</f>
        <v>1012</v>
      </c>
      <c r="AL182" s="30">
        <f>IFERROR(INDEX('Profit and Loss Highlights'!$A:$AAY,MATCH($AA182,'Profit and Loss Highlights'!$B:$B,0),MATCH(AL181,'Profit and Loss Highlights'!$1:$1,0)),"")</f>
        <v>1004</v>
      </c>
      <c r="AM182" s="30">
        <f>IFERROR(INDEX('Profit and Loss Highlights'!$A:$AAY,MATCH($AA182,'Profit and Loss Highlights'!$B:$B,0),MATCH(AM181,'Profit and Loss Highlights'!$1:$1,0)),"")</f>
        <v>986</v>
      </c>
      <c r="AN182" s="30">
        <f>IFERROR(INDEX('Profit and Loss Highlights'!$A:$AAY,MATCH($AA182,'Profit and Loss Highlights'!$B:$B,0),MATCH(AN181,'Profit and Loss Highlights'!$1:$1,0)),"")</f>
        <v>972</v>
      </c>
      <c r="AO182" s="30">
        <f>IFERROR(INDEX('Profit and Loss Highlights'!$A:$AAY,MATCH($AA182,'Profit and Loss Highlights'!$B:$B,0),MATCH(AO181,'Profit and Loss Highlights'!$1:$1,0)),"")</f>
        <v>1002</v>
      </c>
      <c r="AP182" s="30">
        <f>IFERROR(INDEX('Profit and Loss Highlights'!$A:$AAY,MATCH($AA182,'Profit and Loss Highlights'!$B:$B,0),MATCH(AP181,'Profit and Loss Highlights'!$1:$1,0)),"")</f>
        <v>929</v>
      </c>
      <c r="AQ182" s="30">
        <f>IFERROR(INDEX('Profit and Loss Highlights'!$A:$AAY,MATCH($AA182,'Profit and Loss Highlights'!$B:$B,0),MATCH(AQ181,'Profit and Loss Highlights'!$1:$1,0)),"")</f>
        <v>1057</v>
      </c>
      <c r="AR182" s="30">
        <f>IFERROR(INDEX('Profit and Loss Highlights'!$A:$AAY,MATCH($AA182,'Profit and Loss Highlights'!$B:$B,0),MATCH(AR181,'Profit and Loss Highlights'!$1:$1,0)),"")</f>
        <v>1044</v>
      </c>
      <c r="AS182" s="30">
        <f>IFERROR(INDEX('Profit and Loss Highlights'!$A:$AAY,MATCH($AA182,'Profit and Loss Highlights'!$B:$B,0),MATCH(AS181,'Profit and Loss Highlights'!$1:$1,0)),"")</f>
        <v>1046</v>
      </c>
      <c r="AT182" s="30">
        <f>IFERROR(INDEX('Profit and Loss Highlights'!$A:$AAY,MATCH($AA182,'Profit and Loss Highlights'!$B:$B,0),MATCH(AT181,'Profit and Loss Highlights'!$1:$1,0)),"")</f>
        <v>1048</v>
      </c>
      <c r="AU182" s="30">
        <f>IFERROR(INDEX('Profit and Loss Highlights'!$A:$AAY,MATCH($AA182,'Profit and Loss Highlights'!$B:$B,0),MATCH(AU181,'Profit and Loss Highlights'!$1:$1,0)),"")</f>
        <v>984</v>
      </c>
    </row>
    <row r="183" spans="1:47" x14ac:dyDescent="0.35">
      <c r="A183" s="6"/>
      <c r="B183" s="6"/>
      <c r="C183" s="6"/>
      <c r="D183" s="6"/>
      <c r="E183" s="6"/>
      <c r="F183" s="6"/>
      <c r="G183" s="6"/>
      <c r="H183" s="6"/>
      <c r="I183" s="6"/>
      <c r="J183" s="6"/>
      <c r="K183" s="6"/>
      <c r="L183" s="6"/>
      <c r="M183" s="6"/>
      <c r="N183" s="6"/>
      <c r="O183" s="6"/>
      <c r="P183" s="6"/>
      <c r="Q183" s="6"/>
      <c r="R183" s="6"/>
      <c r="S183" s="6"/>
      <c r="T183" s="6"/>
      <c r="U183" s="6"/>
      <c r="V183" s="6"/>
      <c r="W183" s="6"/>
      <c r="AA183" s="29" t="str">
        <f>'Profit and Loss Highlights'!B144</f>
        <v>EBITDA growth (% YoY)</v>
      </c>
      <c r="AB183" s="31">
        <f>IFERROR(INDEX('Profit and Loss Highlights'!$A:$AAY,MATCH($AA183,'Profit and Loss Highlights'!$B:$B,0),MATCH(AB181,'Profit and Loss Highlights'!$1:$1,0)),"")</f>
        <v>-3.46274921301154E-2</v>
      </c>
      <c r="AC183" s="31">
        <f>IFERROR(INDEX('Profit and Loss Highlights'!$A:$AAY,MATCH($AA183,'Profit and Loss Highlights'!$B:$B,0),MATCH(AC181,'Profit and Loss Highlights'!$1:$1,0)),"")</f>
        <v>-4.6462513199577615E-2</v>
      </c>
      <c r="AD183" s="31">
        <f>IFERROR(INDEX('Profit and Loss Highlights'!$A:$AAY,MATCH($AA183,'Profit and Loss Highlights'!$B:$B,0),MATCH(AD181,'Profit and Loss Highlights'!$1:$1,0)),"")</f>
        <v>-4.1493775933609922E-2</v>
      </c>
      <c r="AE183" s="31">
        <f>IFERROR(INDEX('Profit and Loss Highlights'!$A:$AAY,MATCH($AA183,'Profit and Loss Highlights'!$B:$B,0),MATCH(AE181,'Profit and Loss Highlights'!$1:$1,0)),"")</f>
        <v>-6.3492063492063266E-3</v>
      </c>
      <c r="AF183" s="31">
        <f>IFERROR(INDEX('Profit and Loss Highlights'!$A:$AAY,MATCH($AA183,'Profit and Loss Highlights'!$B:$B,0),MATCH(AF181,'Profit and Loss Highlights'!$1:$1,0)),"")</f>
        <v>-1.0395010395010118E-3</v>
      </c>
      <c r="AG183" s="31">
        <f>IFERROR(INDEX('Profit and Loss Highlights'!$A:$AAY,MATCH($AA183,'Profit and Loss Highlights'!$B:$B,0),MATCH(AG181,'Profit and Loss Highlights'!$1:$1,0)),"")</f>
        <v>6.3424947145877431E-2</v>
      </c>
      <c r="AH183" s="31">
        <f>IFERROR(INDEX('Profit and Loss Highlights'!$A:$AAY,MATCH($AA183,'Profit and Loss Highlights'!$B:$B,0),MATCH(AH181,'Profit and Loss Highlights'!$1:$1,0)),"")</f>
        <v>1.0341261633919352E-2</v>
      </c>
      <c r="AI183" s="31">
        <f>IFERROR(INDEX('Profit and Loss Highlights'!$A:$AAY,MATCH($AA183,'Profit and Loss Highlights'!$B:$B,0),MATCH(AI181,'Profit and Loss Highlights'!$1:$1,0)),"")</f>
        <v>-7.4547390841320782E-3</v>
      </c>
      <c r="AJ183" s="31">
        <f>IFERROR(INDEX('Profit and Loss Highlights'!$A:$AAY,MATCH($AA183,'Profit and Loss Highlights'!$B:$B,0),MATCH(AJ181,'Profit and Loss Highlights'!$1:$1,0)),"")</f>
        <v>-3.5379812695109258E-2</v>
      </c>
      <c r="AK183" s="31">
        <f>IFERROR(INDEX('Profit and Loss Highlights'!$A:$AAY,MATCH($AA183,'Profit and Loss Highlights'!$B:$B,0),MATCH(AK181,'Profit and Loss Highlights'!$1:$1,0)),"")</f>
        <v>5.9642147117295874E-3</v>
      </c>
      <c r="AL183" s="31">
        <f>IFERROR(INDEX('Profit and Loss Highlights'!$A:$AAY,MATCH($AA183,'Profit and Loss Highlights'!$B:$B,0),MATCH(AL181,'Profit and Loss Highlights'!$1:$1,0)),"")</f>
        <v>2.763561924257929E-2</v>
      </c>
      <c r="AM183" s="31">
        <f>IFERROR(INDEX('Profit and Loss Highlights'!$A:$AAY,MATCH($AA183,'Profit and Loss Highlights'!$B:$B,0),MATCH(AM181,'Profit and Loss Highlights'!$1:$1,0)),"")</f>
        <v>5.7939914163090078E-2</v>
      </c>
      <c r="AN183" s="31">
        <f>IFERROR(INDEX('Profit and Loss Highlights'!$A:$AAY,MATCH($AA183,'Profit and Loss Highlights'!$B:$B,0),MATCH(AN181,'Profit and Loss Highlights'!$1:$1,0)),"")</f>
        <v>4.8543689320388328E-2</v>
      </c>
      <c r="AO183" s="31">
        <f>IFERROR(INDEX('Profit and Loss Highlights'!$A:$AAY,MATCH($AA183,'Profit and Loss Highlights'!$B:$B,0),MATCH(AO181,'Profit and Loss Highlights'!$1:$1,0)),"")</f>
        <v>-9.8814229249012397E-3</v>
      </c>
      <c r="AP183" s="31">
        <f>IFERROR(INDEX('Profit and Loss Highlights'!$A:$AAY,MATCH($AA183,'Profit and Loss Highlights'!$B:$B,0),MATCH(AP181,'Profit and Loss Highlights'!$1:$1,0)),"")</f>
        <v>-7.4701195219123551E-2</v>
      </c>
      <c r="AQ183" s="31">
        <f>IFERROR(INDEX('Profit and Loss Highlights'!$A:$AAY,MATCH($AA183,'Profit and Loss Highlights'!$B:$B,0),MATCH(AQ181,'Profit and Loss Highlights'!$1:$1,0)),"")</f>
        <v>7.2008113590263712E-2</v>
      </c>
      <c r="AR183" s="31">
        <f>IFERROR(INDEX('Profit and Loss Highlights'!$A:$AAY,MATCH($AA183,'Profit and Loss Highlights'!$B:$B,0),MATCH(AR181,'Profit and Loss Highlights'!$1:$1,0)),"")</f>
        <v>7.4074074074074181E-2</v>
      </c>
      <c r="AS183" s="31">
        <f>IFERROR(INDEX('Profit and Loss Highlights'!$A:$AAY,MATCH($AA183,'Profit and Loss Highlights'!$B:$B,0),MATCH(AS181,'Profit and Loss Highlights'!$1:$1,0)),"")</f>
        <v>4.3912175648702645E-2</v>
      </c>
      <c r="AT183" s="31">
        <f>IFERROR(INDEX('Profit and Loss Highlights'!$A:$AAY,MATCH($AA183,'Profit and Loss Highlights'!$B:$B,0),MATCH(AT181,'Profit and Loss Highlights'!$1:$1,0)),"")</f>
        <v>0.12809472551130252</v>
      </c>
      <c r="AU183" s="31">
        <f>IFERROR(INDEX('Profit and Loss Highlights'!$A:$AAY,MATCH($AA183,'Profit and Loss Highlights'!$B:$B,0),MATCH(AU181,'Profit and Loss Highlights'!$1:$1,0)),"")</f>
        <v>-6.9063386944181682E-2</v>
      </c>
    </row>
    <row r="184" spans="1:47" x14ac:dyDescent="0.35">
      <c r="A184" s="6"/>
      <c r="B184" s="6"/>
      <c r="C184" s="6"/>
      <c r="D184" s="6"/>
      <c r="E184" s="6"/>
      <c r="F184" s="6"/>
      <c r="G184" s="6"/>
      <c r="H184" s="6"/>
      <c r="I184" s="6"/>
      <c r="J184" s="6"/>
      <c r="K184" s="6"/>
      <c r="L184" s="6"/>
      <c r="M184" s="6"/>
      <c r="N184" s="6"/>
      <c r="O184" s="6"/>
      <c r="P184" s="6"/>
      <c r="Q184" s="6"/>
      <c r="R184" s="6"/>
      <c r="S184" s="6"/>
      <c r="T184" s="6"/>
      <c r="U184" s="6"/>
      <c r="V184" s="6"/>
      <c r="W184" s="6"/>
    </row>
    <row r="185" spans="1:47" x14ac:dyDescent="0.35">
      <c r="A185" s="6"/>
      <c r="B185" s="6"/>
      <c r="C185" s="6"/>
      <c r="D185" s="6"/>
      <c r="E185" s="6"/>
      <c r="F185" s="6"/>
      <c r="G185" s="6"/>
      <c r="H185" s="6"/>
      <c r="I185" s="6"/>
      <c r="J185" s="6"/>
      <c r="K185" s="6"/>
      <c r="L185" s="6"/>
      <c r="M185" s="6"/>
      <c r="N185" s="6"/>
      <c r="O185" s="6"/>
      <c r="P185" s="6"/>
      <c r="Q185" s="6"/>
      <c r="R185" s="6"/>
      <c r="S185" s="6"/>
      <c r="T185" s="6"/>
      <c r="U185" s="6"/>
      <c r="V185" s="6"/>
      <c r="W185" s="6"/>
    </row>
    <row r="186" spans="1:47" x14ac:dyDescent="0.35">
      <c r="A186" s="6"/>
      <c r="B186" s="6"/>
      <c r="C186" s="6"/>
      <c r="D186" s="6"/>
      <c r="E186" s="6"/>
      <c r="F186" s="6"/>
      <c r="G186" s="6"/>
      <c r="H186" s="6"/>
      <c r="I186" s="6"/>
      <c r="J186" s="6"/>
      <c r="K186" s="6"/>
      <c r="L186" s="6"/>
      <c r="M186" s="6"/>
      <c r="N186" s="6"/>
      <c r="O186" s="6"/>
      <c r="P186" s="6"/>
      <c r="Q186" s="6"/>
      <c r="R186" s="6"/>
      <c r="S186" s="6"/>
      <c r="T186" s="6"/>
      <c r="U186" s="6"/>
      <c r="V186" s="6"/>
      <c r="W186" s="6"/>
    </row>
    <row r="187" spans="1:47" x14ac:dyDescent="0.35">
      <c r="A187" s="6"/>
      <c r="B187" s="6"/>
      <c r="C187" s="6"/>
      <c r="D187" s="6"/>
      <c r="E187" s="6"/>
      <c r="F187" s="6"/>
      <c r="G187" s="6"/>
      <c r="H187" s="6"/>
      <c r="I187" s="6"/>
      <c r="J187" s="6"/>
      <c r="K187" s="6"/>
      <c r="L187" s="6"/>
      <c r="M187" s="6"/>
      <c r="N187" s="6"/>
      <c r="O187" s="6"/>
      <c r="P187" s="6"/>
      <c r="Q187" s="6"/>
      <c r="R187" s="6"/>
      <c r="S187" s="6"/>
      <c r="T187" s="6"/>
      <c r="U187" s="6"/>
      <c r="V187" s="6"/>
      <c r="W187" s="6"/>
    </row>
    <row r="188" spans="1:47" x14ac:dyDescent="0.35">
      <c r="A188" s="6"/>
      <c r="B188" s="6"/>
      <c r="C188" s="6"/>
      <c r="D188" s="6"/>
      <c r="E188" s="6"/>
      <c r="F188" s="6"/>
      <c r="G188" s="6"/>
      <c r="H188" s="6"/>
      <c r="I188" s="6"/>
      <c r="J188" s="6"/>
      <c r="K188" s="6"/>
      <c r="L188" s="6"/>
      <c r="M188" s="6"/>
      <c r="N188" s="6"/>
      <c r="O188" s="6"/>
      <c r="P188" s="6"/>
      <c r="Q188" s="6"/>
      <c r="R188" s="6"/>
      <c r="S188" s="6"/>
      <c r="T188" s="6"/>
      <c r="U188" s="6"/>
      <c r="V188" s="6"/>
      <c r="W188" s="6"/>
      <c r="AB188" s="27">
        <f t="shared" ref="AB188" si="325">AC188-1</f>
        <v>33</v>
      </c>
      <c r="AC188" s="27">
        <f t="shared" ref="AC188" si="326">AD188-1</f>
        <v>34</v>
      </c>
      <c r="AD188" s="27">
        <f t="shared" ref="AD188" si="327">AE188-1</f>
        <v>35</v>
      </c>
      <c r="AE188" s="27">
        <f t="shared" ref="AE188" si="328">AF188-1</f>
        <v>36</v>
      </c>
      <c r="AF188" s="27">
        <f t="shared" ref="AF188" si="329">AG188-1</f>
        <v>37</v>
      </c>
      <c r="AG188" s="27">
        <f t="shared" ref="AG188" si="330">AH188-1</f>
        <v>38</v>
      </c>
      <c r="AH188" s="27">
        <f t="shared" ref="AH188" si="331">AI188-1</f>
        <v>39</v>
      </c>
      <c r="AI188" s="27">
        <f t="shared" ref="AI188" si="332">AJ188-1</f>
        <v>40</v>
      </c>
      <c r="AJ188" s="27">
        <f t="shared" ref="AJ188" si="333">AK188-1</f>
        <v>41</v>
      </c>
      <c r="AK188" s="27">
        <f t="shared" ref="AK188" si="334">AL188-1</f>
        <v>42</v>
      </c>
      <c r="AL188" s="27">
        <f t="shared" ref="AL188" si="335">AM188-1</f>
        <v>43</v>
      </c>
      <c r="AM188" s="27">
        <f t="shared" ref="AM188" si="336">AN188-1</f>
        <v>44</v>
      </c>
      <c r="AN188" s="27">
        <f t="shared" ref="AN188" si="337">AO188-1</f>
        <v>45</v>
      </c>
      <c r="AO188" s="27">
        <f t="shared" ref="AO188" si="338">AP188-1</f>
        <v>46</v>
      </c>
      <c r="AP188" s="27">
        <f t="shared" ref="AP188" si="339">AQ188-1</f>
        <v>47</v>
      </c>
      <c r="AQ188" s="27">
        <f t="shared" ref="AQ188" si="340">AR188-1</f>
        <v>48</v>
      </c>
      <c r="AR188" s="27">
        <f t="shared" ref="AR188" si="341">AS188-1</f>
        <v>49</v>
      </c>
      <c r="AS188" s="27">
        <f t="shared" ref="AS188" si="342">AT188-1</f>
        <v>50</v>
      </c>
      <c r="AT188" s="27">
        <f>AU188-1</f>
        <v>51</v>
      </c>
      <c r="AU188" s="27">
        <f>VLOOKUP(AU189,Dates!$A:$D,2,FALSE)</f>
        <v>52</v>
      </c>
    </row>
    <row r="189" spans="1:47" x14ac:dyDescent="0.35">
      <c r="A189" s="6"/>
      <c r="B189" s="6"/>
      <c r="C189" s="6"/>
      <c r="D189" s="6"/>
      <c r="E189" s="6"/>
      <c r="F189" s="6"/>
      <c r="G189" s="6"/>
      <c r="H189" s="6"/>
      <c r="I189" s="6"/>
      <c r="J189" s="6"/>
      <c r="K189" s="6"/>
      <c r="L189" s="6"/>
      <c r="M189" s="6"/>
      <c r="N189" s="6"/>
      <c r="O189" s="6"/>
      <c r="P189" s="6"/>
      <c r="Q189" s="6"/>
      <c r="R189" s="6"/>
      <c r="S189" s="6"/>
      <c r="T189" s="6"/>
      <c r="U189" s="6"/>
      <c r="V189" s="6"/>
      <c r="W189" s="6"/>
      <c r="AB189" s="27" t="str">
        <f>IFERROR(VLOOKUP(AB188,Dates!$B:$D,3,FALSE),"")</f>
        <v>1Q20</v>
      </c>
      <c r="AC189" s="27" t="str">
        <f>IFERROR(VLOOKUP(AC188,Dates!$B:$D,3,FALSE),"")</f>
        <v>2Q20</v>
      </c>
      <c r="AD189" s="27" t="str">
        <f>IFERROR(VLOOKUP(AD188,Dates!$B:$D,3,FALSE),"")</f>
        <v>3Q20</v>
      </c>
      <c r="AE189" s="27" t="str">
        <f>IFERROR(VLOOKUP(AE188,Dates!$B:$D,3,FALSE),"")</f>
        <v>4Q20</v>
      </c>
      <c r="AF189" s="27" t="str">
        <f>IFERROR(VLOOKUP(AF188,Dates!$B:$D,3,FALSE),"")</f>
        <v>1Q21</v>
      </c>
      <c r="AG189" s="27" t="str">
        <f>IFERROR(VLOOKUP(AG188,Dates!$B:$D,3,FALSE),"")</f>
        <v>2Q21</v>
      </c>
      <c r="AH189" s="27" t="str">
        <f>IFERROR(VLOOKUP(AH188,Dates!$B:$D,3,FALSE),"")</f>
        <v>3Q21</v>
      </c>
      <c r="AI189" s="27" t="str">
        <f>IFERROR(VLOOKUP(AI188,Dates!$B:$D,3,FALSE),"")</f>
        <v>4Q21</v>
      </c>
      <c r="AJ189" s="27" t="str">
        <f>IFERROR(VLOOKUP(AJ188,Dates!$B:$D,3,FALSE),"")</f>
        <v>1Q22</v>
      </c>
      <c r="AK189" s="27" t="str">
        <f>IFERROR(VLOOKUP(AK188,Dates!$B:$D,3,FALSE),"")</f>
        <v>2Q22</v>
      </c>
      <c r="AL189" s="27" t="str">
        <f>IFERROR(VLOOKUP(AL188,Dates!$B:$D,3,FALSE),"")</f>
        <v>3Q22</v>
      </c>
      <c r="AM189" s="27" t="str">
        <f>IFERROR(VLOOKUP(AM188,Dates!$B:$D,3,FALSE),"")</f>
        <v>4Q22</v>
      </c>
      <c r="AN189" s="27" t="str">
        <f>IFERROR(VLOOKUP(AN188,Dates!$B:$D,3,FALSE),"")</f>
        <v>1Q23</v>
      </c>
      <c r="AO189" s="27" t="str">
        <f>IFERROR(VLOOKUP(AO188,Dates!$B:$D,3,FALSE),"")</f>
        <v>2Q23</v>
      </c>
      <c r="AP189" s="27" t="str">
        <f>IFERROR(VLOOKUP(AP188,Dates!$B:$D,3,FALSE),"")</f>
        <v>3Q23</v>
      </c>
      <c r="AQ189" s="27" t="str">
        <f>IFERROR(VLOOKUP(AQ188,Dates!$B:$D,3,FALSE),"")</f>
        <v>4Q23</v>
      </c>
      <c r="AR189" s="27" t="str">
        <f>IFERROR(VLOOKUP(AR188,Dates!$B:$D,3,FALSE),"")</f>
        <v>1Q24</v>
      </c>
      <c r="AS189" s="27" t="str">
        <f>IFERROR(VLOOKUP(AS188,Dates!$B:$D,3,FALSE),"")</f>
        <v>2Q24</v>
      </c>
      <c r="AT189" s="27" t="str">
        <f>IFERROR(VLOOKUP(AT188,Dates!$B:$D,3,FALSE),"")</f>
        <v>3Q24</v>
      </c>
      <c r="AU189" s="28" t="str">
        <f>$G$3</f>
        <v>4Q24</v>
      </c>
    </row>
    <row r="190" spans="1:47" x14ac:dyDescent="0.35">
      <c r="A190" s="6"/>
      <c r="B190" s="6"/>
      <c r="C190" s="6"/>
      <c r="D190" s="6"/>
      <c r="E190" s="6"/>
      <c r="F190" s="6"/>
      <c r="G190" s="6"/>
      <c r="H190" s="6"/>
      <c r="I190" s="6"/>
      <c r="J190" s="6"/>
      <c r="K190" s="6"/>
      <c r="L190" s="6"/>
      <c r="M190" s="6"/>
      <c r="N190" s="6"/>
      <c r="O190" s="6"/>
      <c r="P190" s="6"/>
      <c r="Q190" s="6"/>
      <c r="R190" s="6"/>
      <c r="S190" s="6"/>
      <c r="T190" s="6"/>
      <c r="U190" s="6"/>
      <c r="V190" s="6"/>
      <c r="W190" s="6"/>
      <c r="AA190" s="29" t="str">
        <f>'Profit and Loss Highlights'!B56</f>
        <v>EBITDA Margin</v>
      </c>
      <c r="AB190" s="31">
        <f>IFERROR(INDEX('Profit and Loss Highlights'!$A:$AAY,MATCH($AA190,'Profit and Loss Highlights'!$B:$B,0),MATCH(AB189,'Profit and Loss Highlights'!$1:$1,0)),"")</f>
        <v>0.41093549765057669</v>
      </c>
      <c r="AC190" s="31">
        <f>IFERROR(INDEX('Profit and Loss Highlights'!$A:$AAY,MATCH($AA190,'Profit and Loss Highlights'!$B:$B,0),MATCH(AC189,'Profit and Loss Highlights'!$1:$1,0)),"")</f>
        <v>0.4397954439795444</v>
      </c>
      <c r="AD190" s="31">
        <f>IFERROR(INDEX('Profit and Loss Highlights'!$A:$AAY,MATCH($AA190,'Profit and Loss Highlights'!$B:$B,0),MATCH(AD189,'Profit and Loss Highlights'!$1:$1,0)),"")</f>
        <v>0.43696339810212381</v>
      </c>
      <c r="AE190" s="31">
        <f>IFERROR(INDEX('Profit and Loss Highlights'!$A:$AAY,MATCH($AA190,'Profit and Loss Highlights'!$B:$B,0),MATCH(AE189,'Profit and Loss Highlights'!$1:$1,0)),"")</f>
        <v>0.41530296329057936</v>
      </c>
      <c r="AF190" s="31">
        <f>IFERROR(INDEX('Profit and Loss Highlights'!$A:$AAY,MATCH($AA190,'Profit and Loss Highlights'!$B:$B,0),MATCH(AF189,'Profit and Loss Highlights'!$1:$1,0)),"")</f>
        <v>0.42901785714285712</v>
      </c>
      <c r="AG190" s="31">
        <f>IFERROR(INDEX('Profit and Loss Highlights'!$A:$AAY,MATCH($AA190,'Profit and Loss Highlights'!$B:$B,0),MATCH(AG189,'Profit and Loss Highlights'!$1:$1,0)),"")</f>
        <v>0.44239226033421286</v>
      </c>
      <c r="AH190" s="31">
        <f>IFERROR(INDEX('Profit and Loss Highlights'!$A:$AAY,MATCH($AA190,'Profit and Loss Highlights'!$B:$B,0),MATCH(AH189,'Profit and Loss Highlights'!$1:$1,0)),"")</f>
        <v>0.43020695728753855</v>
      </c>
      <c r="AI190" s="31">
        <f>IFERROR(INDEX('Profit and Loss Highlights'!$A:$AAY,MATCH($AA190,'Profit and Loss Highlights'!$B:$B,0),MATCH(AI189,'Profit and Loss Highlights'!$1:$1,0)),"")</f>
        <v>0.37947882736156352</v>
      </c>
      <c r="AJ190" s="31">
        <f>IFERROR(INDEX('Profit and Loss Highlights'!$A:$AAY,MATCH($AA190,'Profit and Loss Highlights'!$B:$B,0),MATCH(AJ189,'Profit and Loss Highlights'!$1:$1,0)),"")</f>
        <v>0.385286783042394</v>
      </c>
      <c r="AK190" s="31">
        <f>IFERROR(INDEX('Profit and Loss Highlights'!$A:$AAY,MATCH($AA190,'Profit and Loss Highlights'!$B:$B,0),MATCH(AK189,'Profit and Loss Highlights'!$1:$1,0)),"")</f>
        <v>0.41749174917491749</v>
      </c>
      <c r="AL190" s="31">
        <f>IFERROR(INDEX('Profit and Loss Highlights'!$A:$AAY,MATCH($AA190,'Profit and Loss Highlights'!$B:$B,0),MATCH(AL189,'Profit and Loss Highlights'!$1:$1,0)),"")</f>
        <v>0.41746361746361749</v>
      </c>
      <c r="AM190" s="31">
        <f>IFERROR(INDEX('Profit and Loss Highlights'!$A:$AAY,MATCH($AA190,'Profit and Loss Highlights'!$B:$B,0),MATCH(AM189,'Profit and Loss Highlights'!$1:$1,0)),"")</f>
        <v>0.38606108065779171</v>
      </c>
      <c r="AN190" s="31">
        <f>IFERROR(INDEX('Profit and Loss Highlights'!$A:$AAY,MATCH($AA190,'Profit and Loss Highlights'!$B:$B,0),MATCH(AN189,'Profit and Loss Highlights'!$1:$1,0)),"")</f>
        <v>0.38479809976247031</v>
      </c>
      <c r="AO190" s="31">
        <f>IFERROR(INDEX('Profit and Loss Highlights'!$A:$AAY,MATCH($AA190,'Profit and Loss Highlights'!$B:$B,0),MATCH(AO189,'Profit and Loss Highlights'!$1:$1,0)),"")</f>
        <v>0.40566801619433196</v>
      </c>
      <c r="AP190" s="31">
        <f>IFERROR(INDEX('Profit and Loss Highlights'!$A:$AAY,MATCH($AA190,'Profit and Loss Highlights'!$B:$B,0),MATCH(AP189,'Profit and Loss Highlights'!$1:$1,0)),"")</f>
        <v>0.38042588042588044</v>
      </c>
      <c r="AQ190" s="31">
        <f>IFERROR(INDEX('Profit and Loss Highlights'!$A:$AAY,MATCH($AA190,'Profit and Loss Highlights'!$B:$B,0),MATCH(AQ189,'Profit and Loss Highlights'!$1:$1,0)),"")</f>
        <v>0.38548504741064915</v>
      </c>
      <c r="AR190" s="31">
        <f>IFERROR(INDEX('Profit and Loss Highlights'!$A:$AAY,MATCH($AA190,'Profit and Loss Highlights'!$B:$B,0),MATCH(AR189,'Profit and Loss Highlights'!$1:$1,0)),"")</f>
        <v>0.40107568190549364</v>
      </c>
      <c r="AS190" s="31">
        <f>IFERROR(INDEX('Profit and Loss Highlights'!$A:$AAY,MATCH($AA190,'Profit and Loss Highlights'!$B:$B,0),MATCH(AS189,'Profit and Loss Highlights'!$1:$1,0)),"")</f>
        <v>0.40448569218870845</v>
      </c>
      <c r="AT190" s="31">
        <f>IFERROR(INDEX('Profit and Loss Highlights'!$A:$AAY,MATCH($AA190,'Profit and Loss Highlights'!$B:$B,0),MATCH(AT189,'Profit and Loss Highlights'!$1:$1,0)),"")</f>
        <v>0.40683229813664595</v>
      </c>
      <c r="AU190" s="31">
        <f>IFERROR(INDEX('Profit and Loss Highlights'!$A:$AAY,MATCH($AA190,'Profit and Loss Highlights'!$B:$B,0),MATCH(AU189,'Profit and Loss Highlights'!$1:$1,0)),"")</f>
        <v>0.35510645976181882</v>
      </c>
    </row>
    <row r="191" spans="1:47" x14ac:dyDescent="0.35">
      <c r="A191" s="6"/>
      <c r="B191" s="6"/>
      <c r="C191" s="6"/>
      <c r="D191" s="6"/>
      <c r="E191" s="6"/>
      <c r="F191" s="6"/>
      <c r="G191" s="6"/>
      <c r="H191" s="6"/>
      <c r="I191" s="6"/>
      <c r="J191" s="6"/>
      <c r="K191" s="6"/>
      <c r="L191" s="6"/>
      <c r="M191" s="6"/>
      <c r="N191" s="6"/>
      <c r="O191" s="6"/>
      <c r="P191" s="6"/>
      <c r="Q191" s="6"/>
      <c r="R191" s="6"/>
      <c r="S191" s="6"/>
      <c r="T191" s="6"/>
      <c r="U191" s="6"/>
      <c r="V191" s="6"/>
      <c r="W191" s="6"/>
    </row>
    <row r="192" spans="1:47" x14ac:dyDescent="0.35">
      <c r="A192" s="6"/>
      <c r="B192" s="6"/>
      <c r="C192" s="6"/>
      <c r="D192" s="6"/>
      <c r="E192" s="6"/>
      <c r="F192" s="6"/>
      <c r="G192" s="6"/>
      <c r="H192" s="6"/>
      <c r="I192" s="6"/>
      <c r="J192" s="6"/>
      <c r="K192" s="6"/>
      <c r="L192" s="6"/>
      <c r="M192" s="6"/>
      <c r="N192" s="6"/>
      <c r="O192" s="6"/>
      <c r="P192" s="6"/>
      <c r="Q192" s="6"/>
      <c r="R192" s="6"/>
      <c r="S192" s="6"/>
      <c r="T192" s="6"/>
      <c r="U192" s="6"/>
      <c r="V192" s="6"/>
      <c r="W192" s="6"/>
    </row>
    <row r="193" spans="1:47" x14ac:dyDescent="0.35">
      <c r="A193" s="6"/>
      <c r="B193" s="6"/>
      <c r="C193" s="6"/>
      <c r="D193" s="6"/>
      <c r="E193" s="6"/>
      <c r="F193" s="6"/>
      <c r="G193" s="6"/>
      <c r="H193" s="6"/>
      <c r="I193" s="6"/>
      <c r="J193" s="6"/>
      <c r="K193" s="6"/>
      <c r="L193" s="6"/>
      <c r="M193" s="6"/>
      <c r="N193" s="6"/>
      <c r="O193" s="6"/>
      <c r="P193" s="6"/>
      <c r="Q193" s="6"/>
      <c r="R193" s="6"/>
      <c r="S193" s="6"/>
      <c r="T193" s="6"/>
      <c r="U193" s="6"/>
      <c r="V193" s="6"/>
      <c r="W193" s="6"/>
    </row>
    <row r="194" spans="1:47" x14ac:dyDescent="0.35">
      <c r="A194" s="6"/>
      <c r="B194" s="6"/>
      <c r="C194" s="6"/>
      <c r="D194" s="6"/>
      <c r="E194" s="6"/>
      <c r="F194" s="6"/>
      <c r="G194" s="6"/>
      <c r="H194" s="6"/>
      <c r="I194" s="6"/>
      <c r="J194" s="6"/>
      <c r="K194" s="6"/>
      <c r="L194" s="13" t="s">
        <v>205</v>
      </c>
      <c r="M194" s="6"/>
      <c r="N194" s="6"/>
      <c r="O194" s="6"/>
      <c r="P194" s="6"/>
      <c r="Q194" s="6"/>
      <c r="R194" s="6"/>
      <c r="S194" s="6"/>
      <c r="T194" s="6"/>
      <c r="U194" s="6"/>
      <c r="V194" s="6"/>
      <c r="W194" s="6"/>
    </row>
    <row r="195" spans="1:47" x14ac:dyDescent="0.35">
      <c r="A195" s="6"/>
      <c r="B195" s="6"/>
      <c r="C195" s="6"/>
      <c r="D195" s="6"/>
      <c r="E195" s="6"/>
      <c r="F195" s="6"/>
      <c r="G195" s="6"/>
      <c r="H195" s="6"/>
      <c r="I195" s="6"/>
      <c r="J195" s="6"/>
      <c r="K195" s="6"/>
      <c r="L195" s="6"/>
      <c r="M195" s="6"/>
      <c r="N195" s="6"/>
      <c r="O195" s="6"/>
      <c r="P195" s="6"/>
      <c r="Q195" s="6"/>
      <c r="R195" s="6"/>
      <c r="S195" s="6"/>
      <c r="T195" s="6"/>
      <c r="U195" s="6"/>
      <c r="V195" s="6"/>
      <c r="W195" s="6"/>
    </row>
    <row r="196" spans="1:47" x14ac:dyDescent="0.35">
      <c r="A196" s="1" t="s">
        <v>29</v>
      </c>
      <c r="B196" s="1" t="s">
        <v>111</v>
      </c>
      <c r="C196" s="1"/>
      <c r="D196" s="1"/>
      <c r="E196" s="1"/>
      <c r="F196" s="1"/>
      <c r="G196" s="1"/>
      <c r="H196" s="1"/>
      <c r="I196" s="1"/>
      <c r="J196" s="1"/>
      <c r="K196" s="1" t="s">
        <v>30</v>
      </c>
      <c r="L196" s="1" t="s">
        <v>99</v>
      </c>
      <c r="M196" s="1"/>
      <c r="N196" s="1"/>
      <c r="O196" s="1"/>
      <c r="P196" s="1"/>
      <c r="Q196" s="1"/>
      <c r="R196" s="1"/>
      <c r="S196" s="1"/>
      <c r="T196" s="1"/>
      <c r="U196" s="6"/>
      <c r="V196" s="6"/>
      <c r="W196" s="6"/>
    </row>
    <row r="197" spans="1:47" x14ac:dyDescent="0.35">
      <c r="A197" s="6"/>
      <c r="B197" s="6"/>
      <c r="C197" s="6"/>
      <c r="D197" s="6"/>
      <c r="E197" s="6"/>
      <c r="F197" s="6"/>
      <c r="G197" s="6"/>
      <c r="H197" s="6"/>
      <c r="I197" s="6"/>
      <c r="J197" s="6"/>
      <c r="K197" s="6"/>
      <c r="L197" s="6"/>
      <c r="M197" s="6"/>
      <c r="N197" s="6"/>
      <c r="O197" s="6"/>
      <c r="P197" s="6"/>
      <c r="Q197" s="6"/>
      <c r="R197" s="6"/>
      <c r="S197" s="6"/>
      <c r="T197" s="6"/>
      <c r="U197" s="6"/>
      <c r="V197" s="6"/>
      <c r="W197" s="6"/>
      <c r="AB197" s="27">
        <f>VLOOKUP(AB198,Dates!$A:$D,2,FALSE)</f>
        <v>52</v>
      </c>
      <c r="AC197" s="27"/>
      <c r="AD197" s="27"/>
      <c r="AE197" s="27"/>
      <c r="AF197" s="27"/>
      <c r="AG197" s="27"/>
      <c r="AH197" s="27"/>
      <c r="AI197" s="27"/>
      <c r="AJ197" s="27"/>
      <c r="AK197" s="27"/>
      <c r="AL197" s="27"/>
      <c r="AM197" s="27"/>
      <c r="AN197" s="27"/>
      <c r="AO197" s="27"/>
      <c r="AP197" s="27"/>
      <c r="AQ197" s="27"/>
      <c r="AR197" s="27"/>
      <c r="AS197" s="27"/>
      <c r="AT197" s="27"/>
    </row>
    <row r="198" spans="1:47" x14ac:dyDescent="0.35">
      <c r="A198" s="6"/>
      <c r="B198" s="6"/>
      <c r="C198" s="6"/>
      <c r="D198" s="6"/>
      <c r="E198" s="6"/>
      <c r="F198" s="6"/>
      <c r="G198" s="6"/>
      <c r="H198" s="6"/>
      <c r="I198" s="6"/>
      <c r="J198" s="6"/>
      <c r="K198" s="6"/>
      <c r="L198" s="6"/>
      <c r="M198" s="6"/>
      <c r="N198" s="6"/>
      <c r="O198" s="6"/>
      <c r="P198" s="6"/>
      <c r="Q198" s="6"/>
      <c r="R198" s="6"/>
      <c r="S198" s="6"/>
      <c r="T198" s="6"/>
      <c r="U198" s="6"/>
      <c r="V198" s="6"/>
      <c r="W198" s="6"/>
      <c r="AB198" s="28" t="str">
        <f>$G$3</f>
        <v>4Q24</v>
      </c>
      <c r="AC198" s="27"/>
      <c r="AD198" s="27"/>
      <c r="AE198" s="27"/>
      <c r="AF198" s="27"/>
      <c r="AG198" s="27"/>
      <c r="AH198" s="27"/>
      <c r="AI198" s="27"/>
      <c r="AJ198" s="27"/>
      <c r="AK198" s="27"/>
      <c r="AL198" s="27"/>
      <c r="AM198" s="27"/>
      <c r="AN198" s="27"/>
      <c r="AO198" s="27"/>
      <c r="AP198" s="27"/>
      <c r="AQ198" s="27"/>
      <c r="AR198" s="27"/>
      <c r="AS198" s="27"/>
      <c r="AT198" s="27"/>
    </row>
    <row r="199" spans="1:47" x14ac:dyDescent="0.35">
      <c r="A199" s="6"/>
      <c r="B199" s="6"/>
      <c r="C199" s="6"/>
      <c r="D199" s="6"/>
      <c r="E199" s="6"/>
      <c r="F199" s="6"/>
      <c r="G199" s="6"/>
      <c r="H199" s="6"/>
      <c r="I199" s="6"/>
      <c r="J199" s="6"/>
      <c r="K199" s="6"/>
      <c r="L199" s="6"/>
      <c r="M199" s="6"/>
      <c r="N199" s="6"/>
      <c r="O199" s="6"/>
      <c r="P199" s="6"/>
      <c r="Q199" s="6"/>
      <c r="R199" s="6"/>
      <c r="S199" s="6"/>
      <c r="T199" s="6"/>
      <c r="U199" s="6"/>
      <c r="V199" s="6"/>
      <c r="W199" s="6"/>
      <c r="AA199" s="29" t="str">
        <f>'Profit and Loss Highlights'!B135</f>
        <v>Network costs % SR</v>
      </c>
      <c r="AB199" s="31">
        <f>IFERROR(INDEX('Profit and Loss Highlights'!$A:$AAY,MATCH($AA199,'Profit and Loss Highlights'!$B:$B,0),MATCH(AB198,'Profit and Loss Highlights'!$1:$1,0)),"")</f>
        <v>8.7841456882699523E-2</v>
      </c>
      <c r="AC199" s="30"/>
      <c r="AD199" s="30"/>
      <c r="AE199" s="30"/>
      <c r="AF199" s="30"/>
      <c r="AG199" s="30"/>
      <c r="AH199" s="30"/>
      <c r="AI199" s="30"/>
      <c r="AJ199" s="30"/>
      <c r="AK199" s="30"/>
      <c r="AL199" s="30"/>
      <c r="AM199" s="30"/>
      <c r="AN199" s="30"/>
      <c r="AO199" s="30"/>
      <c r="AP199" s="30"/>
      <c r="AQ199" s="30"/>
      <c r="AR199" s="30"/>
      <c r="AS199" s="30"/>
      <c r="AT199" s="30"/>
    </row>
    <row r="200" spans="1:47" x14ac:dyDescent="0.35">
      <c r="A200" s="6"/>
      <c r="B200" s="6"/>
      <c r="C200" s="6"/>
      <c r="D200" s="6"/>
      <c r="E200" s="6"/>
      <c r="F200" s="6"/>
      <c r="G200" s="6"/>
      <c r="H200" s="6"/>
      <c r="I200" s="6"/>
      <c r="J200" s="6"/>
      <c r="K200" s="6"/>
      <c r="L200" s="6"/>
      <c r="M200" s="6"/>
      <c r="N200" s="6"/>
      <c r="O200" s="6"/>
      <c r="P200" s="6"/>
      <c r="Q200" s="6"/>
      <c r="R200" s="6"/>
      <c r="S200" s="6"/>
      <c r="T200" s="6"/>
      <c r="U200" s="6"/>
      <c r="V200" s="6"/>
      <c r="W200" s="6"/>
      <c r="AA200" s="29" t="str">
        <f>'Profit and Loss Highlights'!B136</f>
        <v>Traffic costs % SR</v>
      </c>
      <c r="AB200" s="31">
        <f>IFERROR(INDEX('Profit and Loss Highlights'!$A:$AAY,MATCH($AA200,'Profit and Loss Highlights'!$B:$B,0),MATCH(AB198,'Profit and Loss Highlights'!$1:$1,0)),"")</f>
        <v>0.63256561328334227</v>
      </c>
    </row>
    <row r="201" spans="1:47" x14ac:dyDescent="0.35">
      <c r="A201" s="6"/>
      <c r="B201" s="6"/>
      <c r="C201" s="6"/>
      <c r="D201" s="6"/>
      <c r="E201" s="6"/>
      <c r="F201" s="6"/>
      <c r="G201" s="6"/>
      <c r="H201" s="6"/>
      <c r="I201" s="6"/>
      <c r="J201" s="6"/>
      <c r="K201" s="6"/>
      <c r="L201" s="6"/>
      <c r="M201" s="6"/>
      <c r="N201" s="6"/>
      <c r="O201" s="6"/>
      <c r="P201" s="6"/>
      <c r="Q201" s="6"/>
      <c r="R201" s="6"/>
      <c r="S201" s="6"/>
      <c r="T201" s="6"/>
      <c r="U201" s="6"/>
      <c r="V201" s="6"/>
      <c r="W201" s="6"/>
      <c r="AA201" s="29" t="str">
        <f>'Profit and Loss Highlights'!B137</f>
        <v>Costs of sales % SR</v>
      </c>
      <c r="AB201" s="31">
        <f>IFERROR(INDEX('Profit and Loss Highlights'!$A:$AAY,MATCH($AA201,'Profit and Loss Highlights'!$B:$B,0),MATCH(AB198,'Profit and Loss Highlights'!$1:$1,0)),"")</f>
        <v>0</v>
      </c>
    </row>
    <row r="202" spans="1:47" x14ac:dyDescent="0.35">
      <c r="A202" s="6"/>
      <c r="B202" s="6"/>
      <c r="C202" s="6"/>
      <c r="D202" s="6"/>
      <c r="E202" s="6"/>
      <c r="F202" s="6"/>
      <c r="G202" s="6"/>
      <c r="H202" s="6"/>
      <c r="I202" s="6"/>
      <c r="J202" s="6"/>
      <c r="K202" s="6"/>
      <c r="L202" s="6"/>
      <c r="M202" s="6"/>
      <c r="N202" s="6"/>
      <c r="O202" s="6"/>
      <c r="P202" s="6"/>
      <c r="Q202" s="6"/>
      <c r="R202" s="6"/>
      <c r="S202" s="6"/>
      <c r="T202" s="6"/>
      <c r="U202" s="6"/>
      <c r="V202" s="6"/>
      <c r="W202" s="6"/>
      <c r="AA202" s="29" t="str">
        <f>'Profit and Loss Highlights'!B138</f>
        <v>Sales and Marketing % SR</v>
      </c>
      <c r="AB202" s="31">
        <f>IFERROR(INDEX('Profit and Loss Highlights'!$A:$AAY,MATCH($AA202,'Profit and Loss Highlights'!$B:$B,0),MATCH(AB198,'Profit and Loss Highlights'!$1:$1,0)),"")</f>
        <v>2.5709694697375468E-2</v>
      </c>
    </row>
    <row r="203" spans="1:47" x14ac:dyDescent="0.35">
      <c r="A203" s="6"/>
      <c r="B203" s="6"/>
      <c r="C203" s="6"/>
      <c r="D203" s="6"/>
      <c r="E203" s="6"/>
      <c r="F203" s="6"/>
      <c r="G203" s="6"/>
      <c r="H203" s="6"/>
      <c r="I203" s="6"/>
      <c r="J203" s="6"/>
      <c r="K203" s="6"/>
      <c r="L203" s="6"/>
      <c r="M203" s="6"/>
      <c r="N203" s="6"/>
      <c r="O203" s="6"/>
      <c r="P203" s="6"/>
      <c r="Q203" s="6"/>
      <c r="R203" s="6"/>
      <c r="S203" s="6"/>
      <c r="T203" s="6"/>
      <c r="U203" s="6"/>
      <c r="V203" s="6"/>
      <c r="W203" s="6"/>
      <c r="AA203" s="29" t="str">
        <f>'Profit and Loss Highlights'!B139</f>
        <v>Staff costs % SR</v>
      </c>
      <c r="AB203" s="31">
        <f>IFERROR(INDEX('Profit and Loss Highlights'!$A:$AAY,MATCH($AA203,'Profit and Loss Highlights'!$B:$B,0),MATCH(AB198,'Profit and Loss Highlights'!$1:$1,0)),"")</f>
        <v>0.1205141938939475</v>
      </c>
    </row>
    <row r="204" spans="1:47" x14ac:dyDescent="0.35">
      <c r="A204" s="6"/>
      <c r="B204" s="6"/>
      <c r="C204" s="6"/>
      <c r="D204" s="6"/>
      <c r="E204" s="6"/>
      <c r="F204" s="6"/>
      <c r="G204" s="6"/>
      <c r="H204" s="6"/>
      <c r="I204" s="6"/>
      <c r="J204" s="6"/>
      <c r="K204" s="6"/>
      <c r="L204" s="6"/>
      <c r="M204" s="6"/>
      <c r="N204" s="6"/>
      <c r="O204" s="6"/>
      <c r="P204" s="6"/>
      <c r="Q204" s="6"/>
      <c r="R204" s="6"/>
      <c r="S204" s="6"/>
      <c r="T204" s="6"/>
      <c r="U204" s="6"/>
      <c r="V204" s="6"/>
      <c r="W204" s="6"/>
      <c r="AA204" s="29" t="str">
        <f>'Profit and Loss Highlights'!B140</f>
        <v>Operational and Maintenance % SR</v>
      </c>
      <c r="AB204" s="31">
        <f>IFERROR(INDEX('Profit and Loss Highlights'!$A:$AAY,MATCH($AA204,'Profit and Loss Highlights'!$B:$B,0),MATCH(AB198,'Profit and Loss Highlights'!$1:$1,0)),"")</f>
        <v>6.5881092662024632E-2</v>
      </c>
    </row>
    <row r="205" spans="1:47" x14ac:dyDescent="0.35">
      <c r="A205" s="6"/>
      <c r="B205" s="6"/>
      <c r="C205" s="6"/>
      <c r="D205" s="6"/>
      <c r="E205" s="6"/>
      <c r="F205" s="6"/>
      <c r="G205" s="6"/>
      <c r="H205" s="6"/>
      <c r="I205" s="6"/>
      <c r="J205" s="6"/>
      <c r="K205" s="6"/>
      <c r="L205" s="6"/>
      <c r="M205" s="6"/>
      <c r="N205" s="6"/>
      <c r="O205" s="6"/>
      <c r="P205" s="6"/>
      <c r="Q205" s="6"/>
      <c r="R205" s="6"/>
      <c r="S205" s="6"/>
      <c r="T205" s="6"/>
      <c r="U205" s="6"/>
      <c r="V205" s="6"/>
      <c r="W205" s="6"/>
      <c r="AA205" s="29" t="str">
        <f>'Profit and Loss Highlights'!B141</f>
        <v>USP Fund and Licence % SR</v>
      </c>
      <c r="AB205" s="31">
        <f>IFERROR(INDEX('Profit and Loss Highlights'!$A:$AAY,MATCH($AA205,'Profit and Loss Highlights'!$B:$B,0),MATCH(AB198,'Profit and Loss Highlights'!$1:$1,0)),"")</f>
        <v>0</v>
      </c>
    </row>
    <row r="206" spans="1:47" x14ac:dyDescent="0.35">
      <c r="A206" s="6"/>
      <c r="B206" s="6"/>
      <c r="C206" s="6"/>
      <c r="D206" s="6"/>
      <c r="E206" s="6"/>
      <c r="F206" s="6"/>
      <c r="G206" s="6"/>
      <c r="H206" s="6"/>
      <c r="I206" s="6"/>
      <c r="J206" s="6"/>
      <c r="K206" s="6"/>
      <c r="L206" s="6"/>
      <c r="M206" s="6"/>
      <c r="N206" s="6"/>
      <c r="O206" s="6"/>
      <c r="P206" s="6"/>
      <c r="Q206" s="6"/>
      <c r="R206" s="6"/>
      <c r="S206" s="6"/>
      <c r="T206" s="6"/>
      <c r="U206" s="6"/>
      <c r="V206" s="6"/>
      <c r="W206" s="6"/>
      <c r="AA206" s="29" t="str">
        <f>'Profit and Loss Highlights'!B142</f>
        <v>Other % SR</v>
      </c>
      <c r="AB206" s="31">
        <f>IFERROR(INDEX('Profit and Loss Highlights'!$A:$AAY,MATCH($AA206,'Profit and Loss Highlights'!$B:$B,0),MATCH(AB198,'Profit and Loss Highlights'!$1:$1,0)),"")</f>
        <v>0</v>
      </c>
    </row>
    <row r="207" spans="1:47" x14ac:dyDescent="0.35">
      <c r="A207" s="6"/>
      <c r="B207" s="6"/>
      <c r="C207" s="6"/>
      <c r="D207" s="6"/>
      <c r="E207" s="6"/>
      <c r="F207" s="6"/>
      <c r="G207" s="6"/>
      <c r="H207" s="6"/>
      <c r="I207" s="6"/>
      <c r="J207" s="6"/>
      <c r="K207" s="6"/>
      <c r="L207" s="6"/>
      <c r="M207" s="6"/>
      <c r="N207" s="6"/>
      <c r="O207" s="6"/>
      <c r="P207" s="6"/>
      <c r="Q207" s="6"/>
      <c r="R207" s="6"/>
      <c r="S207" s="6"/>
      <c r="T207" s="6"/>
      <c r="U207" s="6"/>
      <c r="V207" s="6"/>
      <c r="W207" s="6"/>
    </row>
    <row r="208" spans="1:47" x14ac:dyDescent="0.35">
      <c r="A208" s="6"/>
      <c r="B208" s="6"/>
      <c r="C208" s="6"/>
      <c r="D208" s="6"/>
      <c r="E208" s="6"/>
      <c r="F208" s="6"/>
      <c r="G208" s="6"/>
      <c r="H208" s="6"/>
      <c r="I208" s="6"/>
      <c r="J208" s="6"/>
      <c r="K208" s="6"/>
      <c r="L208" s="6"/>
      <c r="M208" s="6"/>
      <c r="N208" s="6"/>
      <c r="O208" s="6"/>
      <c r="P208" s="6"/>
      <c r="Q208" s="6"/>
      <c r="R208" s="6"/>
      <c r="S208" s="6"/>
      <c r="T208" s="6"/>
      <c r="U208" s="6"/>
      <c r="V208" s="6"/>
      <c r="W208" s="6"/>
      <c r="AB208" s="27">
        <f t="shared" ref="AB208" si="343">AC208-1</f>
        <v>33</v>
      </c>
      <c r="AC208" s="27">
        <f t="shared" ref="AC208" si="344">AD208-1</f>
        <v>34</v>
      </c>
      <c r="AD208" s="27">
        <f t="shared" ref="AD208" si="345">AE208-1</f>
        <v>35</v>
      </c>
      <c r="AE208" s="27">
        <f t="shared" ref="AE208" si="346">AF208-1</f>
        <v>36</v>
      </c>
      <c r="AF208" s="27">
        <f t="shared" ref="AF208" si="347">AG208-1</f>
        <v>37</v>
      </c>
      <c r="AG208" s="27">
        <f t="shared" ref="AG208" si="348">AH208-1</f>
        <v>38</v>
      </c>
      <c r="AH208" s="27">
        <f t="shared" ref="AH208" si="349">AI208-1</f>
        <v>39</v>
      </c>
      <c r="AI208" s="27">
        <f t="shared" ref="AI208" si="350">AJ208-1</f>
        <v>40</v>
      </c>
      <c r="AJ208" s="27">
        <f t="shared" ref="AJ208" si="351">AK208-1</f>
        <v>41</v>
      </c>
      <c r="AK208" s="27">
        <f t="shared" ref="AK208" si="352">AL208-1</f>
        <v>42</v>
      </c>
      <c r="AL208" s="27">
        <f t="shared" ref="AL208" si="353">AM208-1</f>
        <v>43</v>
      </c>
      <c r="AM208" s="27">
        <f t="shared" ref="AM208" si="354">AN208-1</f>
        <v>44</v>
      </c>
      <c r="AN208" s="27">
        <f t="shared" ref="AN208" si="355">AO208-1</f>
        <v>45</v>
      </c>
      <c r="AO208" s="27">
        <f t="shared" ref="AO208" si="356">AP208-1</f>
        <v>46</v>
      </c>
      <c r="AP208" s="27">
        <f t="shared" ref="AP208" si="357">AQ208-1</f>
        <v>47</v>
      </c>
      <c r="AQ208" s="27">
        <f t="shared" ref="AQ208" si="358">AR208-1</f>
        <v>48</v>
      </c>
      <c r="AR208" s="27">
        <f t="shared" ref="AR208" si="359">AS208-1</f>
        <v>49</v>
      </c>
      <c r="AS208" s="27">
        <f t="shared" ref="AS208" si="360">AT208-1</f>
        <v>50</v>
      </c>
      <c r="AT208" s="27">
        <f>AU208-1</f>
        <v>51</v>
      </c>
      <c r="AU208" s="27">
        <f>VLOOKUP(AU209,Dates!$A:$D,2,FALSE)</f>
        <v>52</v>
      </c>
    </row>
    <row r="209" spans="1:47" x14ac:dyDescent="0.35">
      <c r="A209" s="6"/>
      <c r="B209" s="6"/>
      <c r="C209" s="6"/>
      <c r="D209" s="6"/>
      <c r="E209" s="6"/>
      <c r="F209" s="6"/>
      <c r="G209" s="6"/>
      <c r="H209" s="6"/>
      <c r="I209" s="6"/>
      <c r="J209" s="6"/>
      <c r="K209" s="6"/>
      <c r="L209" s="6"/>
      <c r="M209" s="6"/>
      <c r="N209" s="6"/>
      <c r="O209" s="6"/>
      <c r="P209" s="6"/>
      <c r="Q209" s="6"/>
      <c r="R209" s="6"/>
      <c r="S209" s="6"/>
      <c r="T209" s="6"/>
      <c r="U209" s="6"/>
      <c r="V209" s="6"/>
      <c r="W209" s="6"/>
      <c r="AB209" s="27" t="str">
        <f>IFERROR(VLOOKUP(AB208,Dates!$B:$D,3,FALSE),"")</f>
        <v>1Q20</v>
      </c>
      <c r="AC209" s="27" t="str">
        <f>IFERROR(VLOOKUP(AC208,Dates!$B:$D,3,FALSE),"")</f>
        <v>2Q20</v>
      </c>
      <c r="AD209" s="27" t="str">
        <f>IFERROR(VLOOKUP(AD208,Dates!$B:$D,3,FALSE),"")</f>
        <v>3Q20</v>
      </c>
      <c r="AE209" s="27" t="str">
        <f>IFERROR(VLOOKUP(AE208,Dates!$B:$D,3,FALSE),"")</f>
        <v>4Q20</v>
      </c>
      <c r="AF209" s="27" t="str">
        <f>IFERROR(VLOOKUP(AF208,Dates!$B:$D,3,FALSE),"")</f>
        <v>1Q21</v>
      </c>
      <c r="AG209" s="27" t="str">
        <f>IFERROR(VLOOKUP(AG208,Dates!$B:$D,3,FALSE),"")</f>
        <v>2Q21</v>
      </c>
      <c r="AH209" s="27" t="str">
        <f>IFERROR(VLOOKUP(AH208,Dates!$B:$D,3,FALSE),"")</f>
        <v>3Q21</v>
      </c>
      <c r="AI209" s="27" t="str">
        <f>IFERROR(VLOOKUP(AI208,Dates!$B:$D,3,FALSE),"")</f>
        <v>4Q21</v>
      </c>
      <c r="AJ209" s="27" t="str">
        <f>IFERROR(VLOOKUP(AJ208,Dates!$B:$D,3,FALSE),"")</f>
        <v>1Q22</v>
      </c>
      <c r="AK209" s="27" t="str">
        <f>IFERROR(VLOOKUP(AK208,Dates!$B:$D,3,FALSE),"")</f>
        <v>2Q22</v>
      </c>
      <c r="AL209" s="27" t="str">
        <f>IFERROR(VLOOKUP(AL208,Dates!$B:$D,3,FALSE),"")</f>
        <v>3Q22</v>
      </c>
      <c r="AM209" s="27" t="str">
        <f>IFERROR(VLOOKUP(AM208,Dates!$B:$D,3,FALSE),"")</f>
        <v>4Q22</v>
      </c>
      <c r="AN209" s="27" t="str">
        <f>IFERROR(VLOOKUP(AN208,Dates!$B:$D,3,FALSE),"")</f>
        <v>1Q23</v>
      </c>
      <c r="AO209" s="27" t="str">
        <f>IFERROR(VLOOKUP(AO208,Dates!$B:$D,3,FALSE),"")</f>
        <v>2Q23</v>
      </c>
      <c r="AP209" s="27" t="str">
        <f>IFERROR(VLOOKUP(AP208,Dates!$B:$D,3,FALSE),"")</f>
        <v>3Q23</v>
      </c>
      <c r="AQ209" s="27" t="str">
        <f>IFERROR(VLOOKUP(AQ208,Dates!$B:$D,3,FALSE),"")</f>
        <v>4Q23</v>
      </c>
      <c r="AR209" s="27" t="str">
        <f>IFERROR(VLOOKUP(AR208,Dates!$B:$D,3,FALSE),"")</f>
        <v>1Q24</v>
      </c>
      <c r="AS209" s="27" t="str">
        <f>IFERROR(VLOOKUP(AS208,Dates!$B:$D,3,FALSE),"")</f>
        <v>2Q24</v>
      </c>
      <c r="AT209" s="27" t="str">
        <f>IFERROR(VLOOKUP(AT208,Dates!$B:$D,3,FALSE),"")</f>
        <v>3Q24</v>
      </c>
      <c r="AU209" s="28" t="str">
        <f>$G$3</f>
        <v>4Q24</v>
      </c>
    </row>
    <row r="210" spans="1:47" x14ac:dyDescent="0.35">
      <c r="A210" s="6"/>
      <c r="B210" s="6"/>
      <c r="C210" s="6"/>
      <c r="D210" s="6"/>
      <c r="E210" s="6"/>
      <c r="F210" s="6"/>
      <c r="G210" s="6"/>
      <c r="H210" s="6"/>
      <c r="I210" s="6"/>
      <c r="J210" s="6"/>
      <c r="K210" s="6"/>
      <c r="L210" s="6"/>
      <c r="M210" s="6"/>
      <c r="N210" s="6"/>
      <c r="O210" s="6"/>
      <c r="P210" s="6"/>
      <c r="Q210" s="6"/>
      <c r="R210" s="6"/>
      <c r="S210" s="6"/>
      <c r="T210" s="6"/>
      <c r="U210" s="6"/>
      <c r="V210" s="6"/>
      <c r="W210" s="6"/>
      <c r="AA210" s="29" t="str">
        <f>'Profit and Loss Highlights'!B54</f>
        <v>Opex</v>
      </c>
      <c r="AB210" s="30">
        <f>IFERROR(INDEX('Profit and Loss Highlights'!$A:$AAY,MATCH($AA210,'Profit and Loss Highlights'!$B:$B,0),MATCH(AB209,'Profit and Loss Highlights'!$1:$1,0)),"")</f>
        <v>1379</v>
      </c>
      <c r="AC210" s="30">
        <f>IFERROR(INDEX('Profit and Loss Highlights'!$A:$AAY,MATCH($AA210,'Profit and Loss Highlights'!$B:$B,0),MATCH(AC209,'Profit and Loss Highlights'!$1:$1,0)),"")</f>
        <v>1205</v>
      </c>
      <c r="AD210" s="30">
        <f>IFERROR(INDEX('Profit and Loss Highlights'!$A:$AAY,MATCH($AA210,'Profit and Loss Highlights'!$B:$B,0),MATCH(AD209,'Profit and Loss Highlights'!$1:$1,0)),"")</f>
        <v>1246</v>
      </c>
      <c r="AE210" s="30">
        <f>IFERROR(INDEX('Profit and Loss Highlights'!$A:$AAY,MATCH($AA210,'Profit and Loss Highlights'!$B:$B,0),MATCH(AE209,'Profit and Loss Highlights'!$1:$1,0)),"")</f>
        <v>1322</v>
      </c>
      <c r="AF210" s="30">
        <f>IFERROR(INDEX('Profit and Loss Highlights'!$A:$AAY,MATCH($AA210,'Profit and Loss Highlights'!$B:$B,0),MATCH(AF209,'Profit and Loss Highlights'!$1:$1,0)),"")</f>
        <v>1279</v>
      </c>
      <c r="AG210" s="30">
        <f>IFERROR(INDEX('Profit and Loss Highlights'!$A:$AAY,MATCH($AA210,'Profit and Loss Highlights'!$B:$B,0),MATCH(AG209,'Profit and Loss Highlights'!$1:$1,0)),"")</f>
        <v>1268</v>
      </c>
      <c r="AH210" s="30">
        <f>IFERROR(INDEX('Profit and Loss Highlights'!$A:$AAY,MATCH($AA210,'Profit and Loss Highlights'!$B:$B,0),MATCH(AH209,'Profit and Loss Highlights'!$1:$1,0)),"")</f>
        <v>1294</v>
      </c>
      <c r="AI210" s="30">
        <f>IFERROR(INDEX('Profit and Loss Highlights'!$A:$AAY,MATCH($AA210,'Profit and Loss Highlights'!$B:$B,0),MATCH(AI209,'Profit and Loss Highlights'!$1:$1,0)),"")</f>
        <v>1524</v>
      </c>
      <c r="AJ210" s="30">
        <f>IFERROR(INDEX('Profit and Loss Highlights'!$A:$AAY,MATCH($AA210,'Profit and Loss Highlights'!$B:$B,0),MATCH(AJ209,'Profit and Loss Highlights'!$1:$1,0)),"")</f>
        <v>1479</v>
      </c>
      <c r="AK210" s="30">
        <f>IFERROR(INDEX('Profit and Loss Highlights'!$A:$AAY,MATCH($AA210,'Profit and Loss Highlights'!$B:$B,0),MATCH(AK209,'Profit and Loss Highlights'!$1:$1,0)),"")</f>
        <v>1412</v>
      </c>
      <c r="AL210" s="30">
        <f>IFERROR(INDEX('Profit and Loss Highlights'!$A:$AAY,MATCH($AA210,'Profit and Loss Highlights'!$B:$B,0),MATCH(AL209,'Profit and Loss Highlights'!$1:$1,0)),"")</f>
        <v>1401</v>
      </c>
      <c r="AM210" s="30">
        <f>IFERROR(INDEX('Profit and Loss Highlights'!$A:$AAY,MATCH($AA210,'Profit and Loss Highlights'!$B:$B,0),MATCH(AM209,'Profit and Loss Highlights'!$1:$1,0)),"")</f>
        <v>1568</v>
      </c>
      <c r="AN210" s="30">
        <f>IFERROR(INDEX('Profit and Loss Highlights'!$A:$AAY,MATCH($AA210,'Profit and Loss Highlights'!$B:$B,0),MATCH(AN209,'Profit and Loss Highlights'!$1:$1,0)),"")</f>
        <v>1554</v>
      </c>
      <c r="AO210" s="30">
        <f>IFERROR(INDEX('Profit and Loss Highlights'!$A:$AAY,MATCH($AA210,'Profit and Loss Highlights'!$B:$B,0),MATCH(AO209,'Profit and Loss Highlights'!$1:$1,0)),"")</f>
        <v>1468</v>
      </c>
      <c r="AP210" s="30">
        <f>IFERROR(INDEX('Profit and Loss Highlights'!$A:$AAY,MATCH($AA210,'Profit and Loss Highlights'!$B:$B,0),MATCH(AP209,'Profit and Loss Highlights'!$1:$1,0)),"")</f>
        <v>1513</v>
      </c>
      <c r="AQ210" s="30">
        <f>IFERROR(INDEX('Profit and Loss Highlights'!$A:$AAY,MATCH($AA210,'Profit and Loss Highlights'!$B:$B,0),MATCH(AQ209,'Profit and Loss Highlights'!$1:$1,0)),"")</f>
        <v>1685</v>
      </c>
      <c r="AR210" s="30">
        <f>IFERROR(INDEX('Profit and Loss Highlights'!$A:$AAY,MATCH($AA210,'Profit and Loss Highlights'!$B:$B,0),MATCH(AR209,'Profit and Loss Highlights'!$1:$1,0)),"")</f>
        <v>1559</v>
      </c>
      <c r="AS210" s="30">
        <f>IFERROR(INDEX('Profit and Loss Highlights'!$A:$AAY,MATCH($AA210,'Profit and Loss Highlights'!$B:$B,0),MATCH(AS209,'Profit and Loss Highlights'!$1:$1,0)),"")</f>
        <v>1540</v>
      </c>
      <c r="AT210" s="30">
        <f>IFERROR(INDEX('Profit and Loss Highlights'!$A:$AAY,MATCH($AA210,'Profit and Loss Highlights'!$B:$B,0),MATCH(AT209,'Profit and Loss Highlights'!$1:$1,0)),"")</f>
        <v>1528</v>
      </c>
      <c r="AU210" s="30">
        <f>IFERROR(INDEX('Profit and Loss Highlights'!$A:$AAY,MATCH($AA210,'Profit and Loss Highlights'!$B:$B,0),MATCH(AU209,'Profit and Loss Highlights'!$1:$1,0)),"")</f>
        <v>1787</v>
      </c>
    </row>
    <row r="211" spans="1:47" x14ac:dyDescent="0.35">
      <c r="A211" s="6"/>
      <c r="B211" s="6"/>
      <c r="C211" s="6"/>
      <c r="D211" s="6"/>
      <c r="E211" s="6"/>
      <c r="F211" s="6"/>
      <c r="G211" s="6"/>
      <c r="H211" s="6"/>
      <c r="I211" s="6"/>
      <c r="J211" s="6"/>
      <c r="K211" s="6"/>
      <c r="L211" s="6"/>
      <c r="M211" s="6"/>
      <c r="N211" s="6"/>
      <c r="O211" s="6"/>
      <c r="P211" s="6"/>
      <c r="Q211" s="6"/>
      <c r="R211" s="6"/>
      <c r="S211" s="6"/>
      <c r="T211" s="6"/>
      <c r="U211" s="6"/>
      <c r="V211" s="6"/>
      <c r="W211" s="6"/>
      <c r="AA211" s="29" t="str">
        <f>'Profit and Loss Highlights'!B132</f>
        <v>Opex growth (% YoY)</v>
      </c>
      <c r="AB211" s="31">
        <f>IFERROR(INDEX('Profit and Loss Highlights'!$A:$AAY,MATCH($AA211,'Profit and Loss Highlights'!$B:$B,0),MATCH(AB209,'Profit and Loss Highlights'!$1:$1,0)),"")</f>
        <v>0.11102423768569203</v>
      </c>
      <c r="AC211" s="31">
        <f>IFERROR(INDEX('Profit and Loss Highlights'!$A:$AAY,MATCH($AA211,'Profit and Loss Highlights'!$B:$B,0),MATCH(AC209,'Profit and Loss Highlights'!$1:$1,0)),"")</f>
        <v>-8.7370929308975276E-3</v>
      </c>
      <c r="AD211" s="31">
        <f>IFERROR(INDEX('Profit and Loss Highlights'!$A:$AAY,MATCH($AA211,'Profit and Loss Highlights'!$B:$B,0),MATCH(AD209,'Profit and Loss Highlights'!$1:$1,0)),"")</f>
        <v>-2.4224072672218044E-2</v>
      </c>
      <c r="AE211" s="31">
        <f>IFERROR(INDEX('Profit and Loss Highlights'!$A:$AAY,MATCH($AA211,'Profit and Loss Highlights'!$B:$B,0),MATCH(AE209,'Profit and Loss Highlights'!$1:$1,0)),"")</f>
        <v>-0.19635258358662611</v>
      </c>
      <c r="AF211" s="31">
        <f>IFERROR(INDEX('Profit and Loss Highlights'!$A:$AAY,MATCH($AA211,'Profit and Loss Highlights'!$B:$B,0),MATCH(AF209,'Profit and Loss Highlights'!$1:$1,0)),"")</f>
        <v>-7.2516316171138517E-2</v>
      </c>
      <c r="AG211" s="31">
        <f>IFERROR(INDEX('Profit and Loss Highlights'!$A:$AAY,MATCH($AA211,'Profit and Loss Highlights'!$B:$B,0),MATCH(AG209,'Profit and Loss Highlights'!$1:$1,0)),"")</f>
        <v>5.2282157676348584E-2</v>
      </c>
      <c r="AH211" s="31">
        <f>IFERROR(INDEX('Profit and Loss Highlights'!$A:$AAY,MATCH($AA211,'Profit and Loss Highlights'!$B:$B,0),MATCH(AH209,'Profit and Loss Highlights'!$1:$1,0)),"")</f>
        <v>3.8523274478330594E-2</v>
      </c>
      <c r="AI211" s="31">
        <f>IFERROR(INDEX('Profit and Loss Highlights'!$A:$AAY,MATCH($AA211,'Profit and Loss Highlights'!$B:$B,0),MATCH(AI209,'Profit and Loss Highlights'!$1:$1,0)),"")</f>
        <v>0.15279878971255667</v>
      </c>
      <c r="AJ211" s="31">
        <f>IFERROR(INDEX('Profit and Loss Highlights'!$A:$AAY,MATCH($AA211,'Profit and Loss Highlights'!$B:$B,0),MATCH(AJ209,'Profit and Loss Highlights'!$1:$1,0)),"")</f>
        <v>0.15637216575449564</v>
      </c>
      <c r="AK211" s="31">
        <f>IFERROR(INDEX('Profit and Loss Highlights'!$A:$AAY,MATCH($AA211,'Profit and Loss Highlights'!$B:$B,0),MATCH(AK209,'Profit and Loss Highlights'!$1:$1,0)),"")</f>
        <v>0.11356466876971605</v>
      </c>
      <c r="AL211" s="31">
        <f>IFERROR(INDEX('Profit and Loss Highlights'!$A:$AAY,MATCH($AA211,'Profit and Loss Highlights'!$B:$B,0),MATCH(AL209,'Profit and Loss Highlights'!$1:$1,0)),"")</f>
        <v>8.2689335394126706E-2</v>
      </c>
      <c r="AM211" s="31">
        <f>IFERROR(INDEX('Profit and Loss Highlights'!$A:$AAY,MATCH($AA211,'Profit and Loss Highlights'!$B:$B,0),MATCH(AM209,'Profit and Loss Highlights'!$1:$1,0)),"")</f>
        <v>2.8871391076115582E-2</v>
      </c>
      <c r="AN211" s="31">
        <f>IFERROR(INDEX('Profit and Loss Highlights'!$A:$AAY,MATCH($AA211,'Profit and Loss Highlights'!$B:$B,0),MATCH(AN209,'Profit and Loss Highlights'!$1:$1,0)),"")</f>
        <v>5.070993914807298E-2</v>
      </c>
      <c r="AO211" s="31">
        <f>IFERROR(INDEX('Profit and Loss Highlights'!$A:$AAY,MATCH($AA211,'Profit and Loss Highlights'!$B:$B,0),MATCH(AO209,'Profit and Loss Highlights'!$1:$1,0)),"")</f>
        <v>3.966005665722383E-2</v>
      </c>
      <c r="AP211" s="31">
        <f>IFERROR(INDEX('Profit and Loss Highlights'!$A:$AAY,MATCH($AA211,'Profit and Loss Highlights'!$B:$B,0),MATCH(AP209,'Profit and Loss Highlights'!$1:$1,0)),"")</f>
        <v>7.994289793005005E-2</v>
      </c>
      <c r="AQ211" s="31">
        <f>IFERROR(INDEX('Profit and Loss Highlights'!$A:$AAY,MATCH($AA211,'Profit and Loss Highlights'!$B:$B,0),MATCH(AQ209,'Profit and Loss Highlights'!$1:$1,0)),"")</f>
        <v>7.461734693877542E-2</v>
      </c>
      <c r="AR211" s="31">
        <f>IFERROR(INDEX('Profit and Loss Highlights'!$A:$AAY,MATCH($AA211,'Profit and Loss Highlights'!$B:$B,0),MATCH(AR209,'Profit and Loss Highlights'!$1:$1,0)),"")</f>
        <v>3.2175032175032481E-3</v>
      </c>
      <c r="AS211" s="31">
        <f>IFERROR(INDEX('Profit and Loss Highlights'!$A:$AAY,MATCH($AA211,'Profit and Loss Highlights'!$B:$B,0),MATCH(AS209,'Profit and Loss Highlights'!$1:$1,0)),"")</f>
        <v>4.9046321525885617E-2</v>
      </c>
      <c r="AT211" s="31">
        <f>IFERROR(INDEX('Profit and Loss Highlights'!$A:$AAY,MATCH($AA211,'Profit and Loss Highlights'!$B:$B,0),MATCH(AT209,'Profit and Loss Highlights'!$1:$1,0)),"")</f>
        <v>9.9140779907469501E-3</v>
      </c>
      <c r="AU211" s="31">
        <f>IFERROR(INDEX('Profit and Loss Highlights'!$A:$AAY,MATCH($AA211,'Profit and Loss Highlights'!$B:$B,0),MATCH(AU209,'Profit and Loss Highlights'!$1:$1,0)),"")</f>
        <v>6.0534124629080033E-2</v>
      </c>
    </row>
    <row r="212" spans="1:47" x14ac:dyDescent="0.35">
      <c r="A212" s="6"/>
      <c r="B212" s="6"/>
      <c r="C212" s="6"/>
      <c r="D212" s="6"/>
      <c r="E212" s="6"/>
      <c r="F212" s="6"/>
      <c r="G212" s="6"/>
      <c r="H212" s="6"/>
      <c r="I212" s="6"/>
      <c r="J212" s="6"/>
      <c r="K212" s="6"/>
      <c r="L212" s="6"/>
      <c r="M212" s="6"/>
      <c r="N212" s="6"/>
      <c r="O212" s="6"/>
      <c r="P212" s="6"/>
      <c r="Q212" s="6"/>
      <c r="R212" s="6"/>
      <c r="S212" s="6"/>
      <c r="T212" s="6"/>
      <c r="U212" s="6"/>
      <c r="V212" s="6"/>
      <c r="W212" s="6"/>
    </row>
    <row r="213" spans="1:47" x14ac:dyDescent="0.35">
      <c r="A213" s="1" t="s">
        <v>31</v>
      </c>
      <c r="B213" s="1" t="s">
        <v>99</v>
      </c>
      <c r="C213" s="1"/>
      <c r="D213" s="1"/>
      <c r="E213" s="1"/>
      <c r="F213" s="1"/>
      <c r="G213" s="1"/>
      <c r="H213" s="1"/>
      <c r="I213" s="1"/>
      <c r="J213" s="1"/>
      <c r="K213" s="1" t="s">
        <v>32</v>
      </c>
      <c r="L213" s="1" t="s">
        <v>188</v>
      </c>
      <c r="M213" s="1"/>
      <c r="N213" s="1"/>
      <c r="O213" s="1"/>
      <c r="P213" s="1"/>
      <c r="Q213" s="1"/>
      <c r="R213" s="1"/>
      <c r="S213" s="1"/>
      <c r="T213" s="1"/>
      <c r="U213" s="6"/>
      <c r="V213" s="6"/>
      <c r="W213" s="6"/>
    </row>
    <row r="214" spans="1:47" x14ac:dyDescent="0.35">
      <c r="A214" s="6"/>
      <c r="B214" s="6"/>
      <c r="C214" s="6"/>
      <c r="D214" s="6"/>
      <c r="E214" s="6"/>
      <c r="F214" s="6"/>
      <c r="G214" s="6"/>
      <c r="H214" s="6"/>
      <c r="I214" s="6"/>
      <c r="J214" s="6"/>
      <c r="K214" s="6"/>
      <c r="L214" s="6"/>
      <c r="M214" s="6"/>
      <c r="N214" s="6"/>
      <c r="O214" s="6"/>
      <c r="P214" s="6"/>
      <c r="Q214" s="6"/>
      <c r="R214" s="6"/>
      <c r="S214" s="6"/>
      <c r="T214" s="6"/>
      <c r="U214" s="6"/>
      <c r="V214" s="6"/>
      <c r="W214" s="6"/>
    </row>
    <row r="215" spans="1:47" x14ac:dyDescent="0.35">
      <c r="A215" s="6"/>
      <c r="B215" s="6"/>
      <c r="C215" s="6"/>
      <c r="D215" s="6"/>
      <c r="E215" s="6"/>
      <c r="F215" s="6"/>
      <c r="G215" s="6"/>
      <c r="H215" s="6"/>
      <c r="I215" s="6"/>
      <c r="J215" s="6"/>
      <c r="K215" s="6"/>
      <c r="L215" s="6"/>
      <c r="M215" s="6"/>
      <c r="N215" s="6"/>
      <c r="O215" s="6"/>
      <c r="P215" s="6"/>
      <c r="Q215" s="6"/>
      <c r="R215" s="6"/>
      <c r="S215" s="6"/>
      <c r="T215" s="6"/>
      <c r="U215" s="6"/>
      <c r="V215" s="6"/>
      <c r="W215" s="6"/>
      <c r="AB215" s="27">
        <f t="shared" ref="AB215" si="361">AC215-1</f>
        <v>33</v>
      </c>
      <c r="AC215" s="27">
        <f t="shared" ref="AC215" si="362">AD215-1</f>
        <v>34</v>
      </c>
      <c r="AD215" s="27">
        <f t="shared" ref="AD215" si="363">AE215-1</f>
        <v>35</v>
      </c>
      <c r="AE215" s="27">
        <f t="shared" ref="AE215" si="364">AF215-1</f>
        <v>36</v>
      </c>
      <c r="AF215" s="27">
        <f t="shared" ref="AF215" si="365">AG215-1</f>
        <v>37</v>
      </c>
      <c r="AG215" s="27">
        <f t="shared" ref="AG215" si="366">AH215-1</f>
        <v>38</v>
      </c>
      <c r="AH215" s="27">
        <f t="shared" ref="AH215" si="367">AI215-1</f>
        <v>39</v>
      </c>
      <c r="AI215" s="27">
        <f t="shared" ref="AI215" si="368">AJ215-1</f>
        <v>40</v>
      </c>
      <c r="AJ215" s="27">
        <f t="shared" ref="AJ215" si="369">AK215-1</f>
        <v>41</v>
      </c>
      <c r="AK215" s="27">
        <f t="shared" ref="AK215" si="370">AL215-1</f>
        <v>42</v>
      </c>
      <c r="AL215" s="27">
        <f t="shared" ref="AL215" si="371">AM215-1</f>
        <v>43</v>
      </c>
      <c r="AM215" s="27">
        <f t="shared" ref="AM215" si="372">AN215-1</f>
        <v>44</v>
      </c>
      <c r="AN215" s="27">
        <f t="shared" ref="AN215" si="373">AO215-1</f>
        <v>45</v>
      </c>
      <c r="AO215" s="27">
        <f t="shared" ref="AO215" si="374">AP215-1</f>
        <v>46</v>
      </c>
      <c r="AP215" s="27">
        <f t="shared" ref="AP215" si="375">AQ215-1</f>
        <v>47</v>
      </c>
      <c r="AQ215" s="27">
        <f t="shared" ref="AQ215" si="376">AR215-1</f>
        <v>48</v>
      </c>
      <c r="AR215" s="27">
        <f t="shared" ref="AR215" si="377">AS215-1</f>
        <v>49</v>
      </c>
      <c r="AS215" s="27">
        <f t="shared" ref="AS215" si="378">AT215-1</f>
        <v>50</v>
      </c>
      <c r="AT215" s="27">
        <f>AU215-1</f>
        <v>51</v>
      </c>
      <c r="AU215" s="27">
        <f>VLOOKUP(AU216,Dates!$A:$D,2,FALSE)</f>
        <v>52</v>
      </c>
    </row>
    <row r="216" spans="1:47" x14ac:dyDescent="0.35">
      <c r="A216" s="6"/>
      <c r="B216" s="6"/>
      <c r="C216" s="6"/>
      <c r="D216" s="6"/>
      <c r="E216" s="6"/>
      <c r="F216" s="6"/>
      <c r="G216" s="6"/>
      <c r="H216" s="6"/>
      <c r="I216" s="6"/>
      <c r="J216" s="6"/>
      <c r="K216" s="6"/>
      <c r="L216" s="6"/>
      <c r="M216" s="6"/>
      <c r="N216" s="6"/>
      <c r="O216" s="6"/>
      <c r="P216" s="6"/>
      <c r="Q216" s="6"/>
      <c r="R216" s="6"/>
      <c r="S216" s="6"/>
      <c r="T216" s="6"/>
      <c r="U216" s="6"/>
      <c r="V216" s="6"/>
      <c r="W216" s="6"/>
      <c r="AB216" s="27" t="str">
        <f>IFERROR(VLOOKUP(AB215,Dates!$B:$D,3,FALSE),"")</f>
        <v>1Q20</v>
      </c>
      <c r="AC216" s="27" t="str">
        <f>IFERROR(VLOOKUP(AC215,Dates!$B:$D,3,FALSE),"")</f>
        <v>2Q20</v>
      </c>
      <c r="AD216" s="27" t="str">
        <f>IFERROR(VLOOKUP(AD215,Dates!$B:$D,3,FALSE),"")</f>
        <v>3Q20</v>
      </c>
      <c r="AE216" s="27" t="str">
        <f>IFERROR(VLOOKUP(AE215,Dates!$B:$D,3,FALSE),"")</f>
        <v>4Q20</v>
      </c>
      <c r="AF216" s="27" t="str">
        <f>IFERROR(VLOOKUP(AF215,Dates!$B:$D,3,FALSE),"")</f>
        <v>1Q21</v>
      </c>
      <c r="AG216" s="27" t="str">
        <f>IFERROR(VLOOKUP(AG215,Dates!$B:$D,3,FALSE),"")</f>
        <v>2Q21</v>
      </c>
      <c r="AH216" s="27" t="str">
        <f>IFERROR(VLOOKUP(AH215,Dates!$B:$D,3,FALSE),"")</f>
        <v>3Q21</v>
      </c>
      <c r="AI216" s="27" t="str">
        <f>IFERROR(VLOOKUP(AI215,Dates!$B:$D,3,FALSE),"")</f>
        <v>4Q21</v>
      </c>
      <c r="AJ216" s="27" t="str">
        <f>IFERROR(VLOOKUP(AJ215,Dates!$B:$D,3,FALSE),"")</f>
        <v>1Q22</v>
      </c>
      <c r="AK216" s="27" t="str">
        <f>IFERROR(VLOOKUP(AK215,Dates!$B:$D,3,FALSE),"")</f>
        <v>2Q22</v>
      </c>
      <c r="AL216" s="27" t="str">
        <f>IFERROR(VLOOKUP(AL215,Dates!$B:$D,3,FALSE),"")</f>
        <v>3Q22</v>
      </c>
      <c r="AM216" s="27" t="str">
        <f>IFERROR(VLOOKUP(AM215,Dates!$B:$D,3,FALSE),"")</f>
        <v>4Q22</v>
      </c>
      <c r="AN216" s="27" t="str">
        <f>IFERROR(VLOOKUP(AN215,Dates!$B:$D,3,FALSE),"")</f>
        <v>1Q23</v>
      </c>
      <c r="AO216" s="27" t="str">
        <f>IFERROR(VLOOKUP(AO215,Dates!$B:$D,3,FALSE),"")</f>
        <v>2Q23</v>
      </c>
      <c r="AP216" s="27" t="str">
        <f>IFERROR(VLOOKUP(AP215,Dates!$B:$D,3,FALSE),"")</f>
        <v>3Q23</v>
      </c>
      <c r="AQ216" s="27" t="str">
        <f>IFERROR(VLOOKUP(AQ215,Dates!$B:$D,3,FALSE),"")</f>
        <v>4Q23</v>
      </c>
      <c r="AR216" s="27" t="str">
        <f>IFERROR(VLOOKUP(AR215,Dates!$B:$D,3,FALSE),"")</f>
        <v>1Q24</v>
      </c>
      <c r="AS216" s="27" t="str">
        <f>IFERROR(VLOOKUP(AS215,Dates!$B:$D,3,FALSE),"")</f>
        <v>2Q24</v>
      </c>
      <c r="AT216" s="27" t="str">
        <f>IFERROR(VLOOKUP(AT215,Dates!$B:$D,3,FALSE),"")</f>
        <v>3Q24</v>
      </c>
      <c r="AU216" s="28" t="str">
        <f>$G$3</f>
        <v>4Q24</v>
      </c>
    </row>
    <row r="217" spans="1:47" x14ac:dyDescent="0.35">
      <c r="A217" s="6"/>
      <c r="B217" s="6"/>
      <c r="C217" s="6"/>
      <c r="D217" s="6"/>
      <c r="E217" s="6"/>
      <c r="F217" s="6"/>
      <c r="G217" s="6"/>
      <c r="H217" s="6"/>
      <c r="I217" s="6"/>
      <c r="J217" s="6"/>
      <c r="K217" s="6"/>
      <c r="L217" s="6"/>
      <c r="M217" s="6"/>
      <c r="N217" s="6"/>
      <c r="O217" s="6"/>
      <c r="P217" s="6"/>
      <c r="Q217" s="6"/>
      <c r="R217" s="6"/>
      <c r="S217" s="6"/>
      <c r="T217" s="6"/>
      <c r="U217" s="6"/>
      <c r="V217" s="6"/>
      <c r="W217" s="6"/>
      <c r="AA217" s="29" t="str">
        <f>'Profit and Loss Highlights'!B135</f>
        <v>Network costs % SR</v>
      </c>
      <c r="AB217" s="31">
        <f>IFERROR(INDEX('Profit and Loss Highlights'!$A:$AAY,MATCH($AA217,'Profit and Loss Highlights'!$B:$B,0),MATCH(AB216,'Profit and Loss Highlights'!$1:$1,0)),"")</f>
        <v>9.0106007067137811E-2</v>
      </c>
      <c r="AC217" s="31">
        <f>IFERROR(INDEX('Profit and Loss Highlights'!$A:$AAY,MATCH($AA217,'Profit and Loss Highlights'!$B:$B,0),MATCH(AC216,'Profit and Loss Highlights'!$1:$1,0)),"")</f>
        <v>0.10361445783132531</v>
      </c>
      <c r="AD217" s="31">
        <f>IFERROR(INDEX('Profit and Loss Highlights'!$A:$AAY,MATCH($AA217,'Profit and Loss Highlights'!$B:$B,0),MATCH(AD216,'Profit and Loss Highlights'!$1:$1,0)),"")</f>
        <v>8.9659294680215176E-2</v>
      </c>
      <c r="AE217" s="31">
        <f>IFERROR(INDEX('Profit and Loss Highlights'!$A:$AAY,MATCH($AA217,'Profit and Loss Highlights'!$B:$B,0),MATCH(AE216,'Profit and Loss Highlights'!$1:$1,0)),"")</f>
        <v>7.6969332531569457E-2</v>
      </c>
      <c r="AF217" s="31">
        <f>IFERROR(INDEX('Profit and Loss Highlights'!$A:$AAY,MATCH($AA217,'Profit and Loss Highlights'!$B:$B,0),MATCH(AF216,'Profit and Loss Highlights'!$1:$1,0)),"")</f>
        <v>7.0913461538461536E-2</v>
      </c>
      <c r="AG217" s="31">
        <f>IFERROR(INDEX('Profit and Loss Highlights'!$A:$AAY,MATCH($AA217,'Profit and Loss Highlights'!$B:$B,0),MATCH(AG216,'Profit and Loss Highlights'!$1:$1,0)),"")</f>
        <v>6.9353882631890934E-2</v>
      </c>
      <c r="AH217" s="31">
        <f>IFERROR(INDEX('Profit and Loss Highlights'!$A:$AAY,MATCH($AA217,'Profit and Loss Highlights'!$B:$B,0),MATCH(AH216,'Profit and Loss Highlights'!$1:$1,0)),"")</f>
        <v>7.2886297376093298E-2</v>
      </c>
      <c r="AI217" s="31">
        <f>IFERROR(INDEX('Profit and Loss Highlights'!$A:$AAY,MATCH($AA217,'Profit and Loss Highlights'!$B:$B,0),MATCH(AI216,'Profit and Loss Highlights'!$1:$1,0)),"")</f>
        <v>7.1087216248506571E-2</v>
      </c>
      <c r="AJ217" s="31">
        <f>IFERROR(INDEX('Profit and Loss Highlights'!$A:$AAY,MATCH($AA217,'Profit and Loss Highlights'!$B:$B,0),MATCH(AJ216,'Profit and Loss Highlights'!$1:$1,0)),"")</f>
        <v>7.7738515901060068E-2</v>
      </c>
      <c r="AK217" s="31">
        <f>IFERROR(INDEX('Profit and Loss Highlights'!$A:$AAY,MATCH($AA217,'Profit and Loss Highlights'!$B:$B,0),MATCH(AK216,'Profit and Loss Highlights'!$1:$1,0)),"")</f>
        <v>7.6659038901601834E-2</v>
      </c>
      <c r="AL217" s="31">
        <f>IFERROR(INDEX('Profit and Loss Highlights'!$A:$AAY,MATCH($AA217,'Profit and Loss Highlights'!$B:$B,0),MATCH(AL216,'Profit and Loss Highlights'!$1:$1,0)),"")</f>
        <v>7.296380090497738E-2</v>
      </c>
      <c r="AM217" s="31">
        <f>IFERROR(INDEX('Profit and Loss Highlights'!$A:$AAY,MATCH($AA217,'Profit and Loss Highlights'!$B:$B,0),MATCH(AM216,'Profit and Loss Highlights'!$1:$1,0)),"")</f>
        <v>6.8600111544896827E-2</v>
      </c>
      <c r="AN217" s="31">
        <f>IFERROR(INDEX('Profit and Loss Highlights'!$A:$AAY,MATCH($AA217,'Profit and Loss Highlights'!$B:$B,0),MATCH(AN216,'Profit and Loss Highlights'!$1:$1,0)),"")</f>
        <v>7.73542600896861E-2</v>
      </c>
      <c r="AO217" s="31">
        <f>IFERROR(INDEX('Profit and Loss Highlights'!$A:$AAY,MATCH($AA217,'Profit and Loss Highlights'!$B:$B,0),MATCH(AO216,'Profit and Loss Highlights'!$1:$1,0)),"")</f>
        <v>8.0944350758853284E-2</v>
      </c>
      <c r="AP217" s="31">
        <f>IFERROR(INDEX('Profit and Loss Highlights'!$A:$AAY,MATCH($AA217,'Profit and Loss Highlights'!$B:$B,0),MATCH(AP216,'Profit and Loss Highlights'!$1:$1,0)),"")</f>
        <v>7.6965669988925803E-2</v>
      </c>
      <c r="AQ217" s="31">
        <f>IFERROR(INDEX('Profit and Loss Highlights'!$A:$AAY,MATCH($AA217,'Profit and Loss Highlights'!$B:$B,0),MATCH(AQ216,'Profit and Loss Highlights'!$1:$1,0)),"")</f>
        <v>7.3872895165670832E-2</v>
      </c>
      <c r="AR217" s="31">
        <f>IFERROR(INDEX('Profit and Loss Highlights'!$A:$AAY,MATCH($AA217,'Profit and Loss Highlights'!$B:$B,0),MATCH(AR216,'Profit and Loss Highlights'!$1:$1,0)),"")</f>
        <v>7.5040783034257749E-2</v>
      </c>
      <c r="AS217" s="31">
        <f>IFERROR(INDEX('Profit and Loss Highlights'!$A:$AAY,MATCH($AA217,'Profit and Loss Highlights'!$B:$B,0),MATCH(AS216,'Profit and Loss Highlights'!$1:$1,0)),"")</f>
        <v>7.5175770686857754E-2</v>
      </c>
      <c r="AT217" s="31">
        <f>IFERROR(INDEX('Profit and Loss Highlights'!$A:$AAY,MATCH($AA217,'Profit and Loss Highlights'!$B:$B,0),MATCH(AT216,'Profit and Loss Highlights'!$1:$1,0)),"")</f>
        <v>8.0410145709660014E-2</v>
      </c>
      <c r="AU217" s="31">
        <f>IFERROR(INDEX('Profit and Loss Highlights'!$A:$AAY,MATCH($AA217,'Profit and Loss Highlights'!$B:$B,0),MATCH(AU216,'Profit and Loss Highlights'!$1:$1,0)),"")</f>
        <v>8.7841456882699523E-2</v>
      </c>
    </row>
    <row r="218" spans="1:47" x14ac:dyDescent="0.35">
      <c r="A218" s="6"/>
      <c r="B218" s="6"/>
      <c r="C218" s="6"/>
      <c r="D218" s="6"/>
      <c r="E218" s="6"/>
      <c r="F218" s="6"/>
      <c r="G218" s="6"/>
      <c r="H218" s="6"/>
      <c r="I218" s="6"/>
      <c r="J218" s="6"/>
      <c r="K218" s="6"/>
      <c r="L218" s="6"/>
      <c r="M218" s="6"/>
      <c r="N218" s="6"/>
      <c r="O218" s="6"/>
      <c r="P218" s="6"/>
      <c r="Q218" s="6"/>
      <c r="R218" s="6"/>
      <c r="S218" s="6"/>
      <c r="T218" s="6"/>
      <c r="U218" s="6"/>
      <c r="V218" s="6"/>
      <c r="W218" s="6"/>
      <c r="AA218" s="29" t="str">
        <f>'Profit and Loss Highlights'!B136</f>
        <v>Traffic costs % SR</v>
      </c>
      <c r="AB218" s="31">
        <f>IFERROR(INDEX('Profit and Loss Highlights'!$A:$AAY,MATCH($AA218,'Profit and Loss Highlights'!$B:$B,0),MATCH(AB216,'Profit and Loss Highlights'!$1:$1,0)),"")</f>
        <v>0.50412249705535928</v>
      </c>
      <c r="AC218" s="31">
        <f>IFERROR(INDEX('Profit and Loss Highlights'!$A:$AAY,MATCH($AA218,'Profit and Loss Highlights'!$B:$B,0),MATCH(AC216,'Profit and Loss Highlights'!$1:$1,0)),"")</f>
        <v>0.39156626506024095</v>
      </c>
      <c r="AD218" s="31">
        <f>IFERROR(INDEX('Profit and Loss Highlights'!$A:$AAY,MATCH($AA218,'Profit and Loss Highlights'!$B:$B,0),MATCH(AD216,'Profit and Loss Highlights'!$1:$1,0)),"")</f>
        <v>0.45845786013150031</v>
      </c>
      <c r="AE218" s="31">
        <f>IFERROR(INDEX('Profit and Loss Highlights'!$A:$AAY,MATCH($AA218,'Profit and Loss Highlights'!$B:$B,0),MATCH(AE216,'Profit and Loss Highlights'!$1:$1,0)),"")</f>
        <v>0.52555622369212263</v>
      </c>
      <c r="AF218" s="31">
        <f>IFERROR(INDEX('Profit and Loss Highlights'!$A:$AAY,MATCH($AA218,'Profit and Loss Highlights'!$B:$B,0),MATCH(AF216,'Profit and Loss Highlights'!$1:$1,0)),"")</f>
        <v>0.27884615384615385</v>
      </c>
      <c r="AG218" s="31">
        <f>IFERROR(INDEX('Profit and Loss Highlights'!$A:$AAY,MATCH($AA218,'Profit and Loss Highlights'!$B:$B,0),MATCH(AG216,'Profit and Loss Highlights'!$1:$1,0)),"")</f>
        <v>0.26852400711321872</v>
      </c>
      <c r="AH218" s="31">
        <f>IFERROR(INDEX('Profit and Loss Highlights'!$A:$AAY,MATCH($AA218,'Profit and Loss Highlights'!$B:$B,0),MATCH(AH216,'Profit and Loss Highlights'!$1:$1,0)),"")</f>
        <v>0.30087463556851313</v>
      </c>
      <c r="AI218" s="31">
        <f>IFERROR(INDEX('Profit and Loss Highlights'!$A:$AAY,MATCH($AA218,'Profit and Loss Highlights'!$B:$B,0),MATCH(AI216,'Profit and Loss Highlights'!$1:$1,0)),"")</f>
        <v>0.28494623655913981</v>
      </c>
      <c r="AJ218" s="31">
        <f>IFERROR(INDEX('Profit and Loss Highlights'!$A:$AAY,MATCH($AA218,'Profit and Loss Highlights'!$B:$B,0),MATCH(AJ216,'Profit and Loss Highlights'!$1:$1,0)),"")</f>
        <v>0.28268551236749118</v>
      </c>
      <c r="AK218" s="31">
        <f>IFERROR(INDEX('Profit and Loss Highlights'!$A:$AAY,MATCH($AA218,'Profit and Loss Highlights'!$B:$B,0),MATCH(AK216,'Profit and Loss Highlights'!$1:$1,0)),"")</f>
        <v>0.290045766590389</v>
      </c>
      <c r="AL218" s="31">
        <f>IFERROR(INDEX('Profit and Loss Highlights'!$A:$AAY,MATCH($AA218,'Profit and Loss Highlights'!$B:$B,0),MATCH(AL216,'Profit and Loss Highlights'!$1:$1,0)),"")</f>
        <v>0.2895927601809955</v>
      </c>
      <c r="AM218" s="31">
        <f>IFERROR(INDEX('Profit and Loss Highlights'!$A:$AAY,MATCH($AA218,'Profit and Loss Highlights'!$B:$B,0),MATCH(AM216,'Profit and Loss Highlights'!$1:$1,0)),"")</f>
        <v>0.27718906860011155</v>
      </c>
      <c r="AN218" s="31">
        <f>IFERROR(INDEX('Profit and Loss Highlights'!$A:$AAY,MATCH($AA218,'Profit and Loss Highlights'!$B:$B,0),MATCH(AN216,'Profit and Loss Highlights'!$1:$1,0)),"")</f>
        <v>0.27017937219730942</v>
      </c>
      <c r="AO218" s="31">
        <f>IFERROR(INDEX('Profit and Loss Highlights'!$A:$AAY,MATCH($AA218,'Profit and Loss Highlights'!$B:$B,0),MATCH(AO216,'Profit and Loss Highlights'!$1:$1,0)),"")</f>
        <v>0.27093872962338394</v>
      </c>
      <c r="AP218" s="31">
        <f>IFERROR(INDEX('Profit and Loss Highlights'!$A:$AAY,MATCH($AA218,'Profit and Loss Highlights'!$B:$B,0),MATCH(AP216,'Profit and Loss Highlights'!$1:$1,0)),"")</f>
        <v>0.26688815060908083</v>
      </c>
      <c r="AQ218" s="31">
        <f>IFERROR(INDEX('Profit and Loss Highlights'!$A:$AAY,MATCH($AA218,'Profit and Loss Highlights'!$B:$B,0),MATCH(AQ216,'Profit and Loss Highlights'!$1:$1,0)),"")</f>
        <v>0.63824008690928846</v>
      </c>
      <c r="AR218" s="31">
        <f>IFERROR(INDEX('Profit and Loss Highlights'!$A:$AAY,MATCH($AA218,'Profit and Loss Highlights'!$B:$B,0),MATCH(AR216,'Profit and Loss Highlights'!$1:$1,0)),"")</f>
        <v>0.56389342033713974</v>
      </c>
      <c r="AS218" s="31">
        <f>IFERROR(INDEX('Profit and Loss Highlights'!$A:$AAY,MATCH($AA218,'Profit and Loss Highlights'!$B:$B,0),MATCH(AS216,'Profit and Loss Highlights'!$1:$1,0)),"")</f>
        <v>0.5386695511087074</v>
      </c>
      <c r="AT218" s="31">
        <f>IFERROR(INDEX('Profit and Loss Highlights'!$A:$AAY,MATCH($AA218,'Profit and Loss Highlights'!$B:$B,0),MATCH(AT216,'Profit and Loss Highlights'!$1:$1,0)),"")</f>
        <v>0.52401511063140849</v>
      </c>
      <c r="AU218" s="31">
        <f>IFERROR(INDEX('Profit and Loss Highlights'!$A:$AAY,MATCH($AA218,'Profit and Loss Highlights'!$B:$B,0),MATCH(AU216,'Profit and Loss Highlights'!$1:$1,0)),"")</f>
        <v>0.63256561328334227</v>
      </c>
    </row>
    <row r="219" spans="1:47" x14ac:dyDescent="0.35">
      <c r="A219" s="6"/>
      <c r="B219" s="6"/>
      <c r="C219" s="6"/>
      <c r="D219" s="6"/>
      <c r="E219" s="6"/>
      <c r="F219" s="6"/>
      <c r="G219" s="6"/>
      <c r="H219" s="6"/>
      <c r="I219" s="6"/>
      <c r="J219" s="6"/>
      <c r="K219" s="6"/>
      <c r="L219" s="6"/>
      <c r="M219" s="6"/>
      <c r="N219" s="6"/>
      <c r="O219" s="6"/>
      <c r="P219" s="6"/>
      <c r="Q219" s="6"/>
      <c r="R219" s="6"/>
      <c r="S219" s="6"/>
      <c r="T219" s="6"/>
      <c r="U219" s="6"/>
      <c r="V219" s="6"/>
      <c r="W219" s="6"/>
      <c r="AA219" s="29" t="str">
        <f>'Profit and Loss Highlights'!B138</f>
        <v>Sales and Marketing % SR</v>
      </c>
      <c r="AB219" s="31">
        <f>IFERROR(INDEX('Profit and Loss Highlights'!$A:$AAY,MATCH($AA219,'Profit and Loss Highlights'!$B:$B,0),MATCH(AB216,'Profit and Loss Highlights'!$1:$1,0)),"")</f>
        <v>2.3557126030624265E-2</v>
      </c>
      <c r="AC219" s="31">
        <f>IFERROR(INDEX('Profit and Loss Highlights'!$A:$AAY,MATCH($AA219,'Profit and Loss Highlights'!$B:$B,0),MATCH(AC216,'Profit and Loss Highlights'!$1:$1,0)),"")</f>
        <v>1.8072289156626505E-2</v>
      </c>
      <c r="AD219" s="31">
        <f>IFERROR(INDEX('Profit and Loss Highlights'!$A:$AAY,MATCH($AA219,'Profit and Loss Highlights'!$B:$B,0),MATCH(AD216,'Profit and Loss Highlights'!$1:$1,0)),"")</f>
        <v>2.7495517035265989E-2</v>
      </c>
      <c r="AE219" s="31">
        <f>IFERROR(INDEX('Profit and Loss Highlights'!$A:$AAY,MATCH($AA219,'Profit and Loss Highlights'!$B:$B,0),MATCH(AE216,'Profit and Loss Highlights'!$1:$1,0)),"")</f>
        <v>1.5634395670475046E-2</v>
      </c>
      <c r="AF219" s="31">
        <f>IFERROR(INDEX('Profit and Loss Highlights'!$A:$AAY,MATCH($AA219,'Profit and Loss Highlights'!$B:$B,0),MATCH(AF216,'Profit and Loss Highlights'!$1:$1,0)),"")</f>
        <v>2.4639423076923076E-2</v>
      </c>
      <c r="AG219" s="31">
        <f>IFERROR(INDEX('Profit and Loss Highlights'!$A:$AAY,MATCH($AA219,'Profit and Loss Highlights'!$B:$B,0),MATCH(AG216,'Profit and Loss Highlights'!$1:$1,0)),"")</f>
        <v>2.4896265560165973E-2</v>
      </c>
      <c r="AH219" s="31">
        <f>IFERROR(INDEX('Profit and Loss Highlights'!$A:$AAY,MATCH($AA219,'Profit and Loss Highlights'!$B:$B,0),MATCH(AH216,'Profit and Loss Highlights'!$1:$1,0)),"")</f>
        <v>2.8571428571428571E-2</v>
      </c>
      <c r="AI219" s="31">
        <f>IFERROR(INDEX('Profit and Loss Highlights'!$A:$AAY,MATCH($AA219,'Profit and Loss Highlights'!$B:$B,0),MATCH(AI216,'Profit and Loss Highlights'!$1:$1,0)),"")</f>
        <v>2.8673835125448029E-2</v>
      </c>
      <c r="AJ219" s="31">
        <f>IFERROR(INDEX('Profit and Loss Highlights'!$A:$AAY,MATCH($AA219,'Profit and Loss Highlights'!$B:$B,0),MATCH(AJ216,'Profit and Loss Highlights'!$1:$1,0)),"")</f>
        <v>2.2968197879858657E-2</v>
      </c>
      <c r="AK219" s="31">
        <f>IFERROR(INDEX('Profit and Loss Highlights'!$A:$AAY,MATCH($AA219,'Profit and Loss Highlights'!$B:$B,0),MATCH(AK216,'Profit and Loss Highlights'!$1:$1,0)),"")</f>
        <v>2.8604118993135013E-2</v>
      </c>
      <c r="AL219" s="31">
        <f>IFERROR(INDEX('Profit and Loss Highlights'!$A:$AAY,MATCH($AA219,'Profit and Loss Highlights'!$B:$B,0),MATCH(AL216,'Profit and Loss Highlights'!$1:$1,0)),"")</f>
        <v>2.7149321266968326E-2</v>
      </c>
      <c r="AM219" s="31">
        <f>IFERROR(INDEX('Profit and Loss Highlights'!$A:$AAY,MATCH($AA219,'Profit and Loss Highlights'!$B:$B,0),MATCH(AM216,'Profit and Loss Highlights'!$1:$1,0)),"")</f>
        <v>2.9001673173452314E-2</v>
      </c>
      <c r="AN219" s="31">
        <f>IFERROR(INDEX('Profit and Loss Highlights'!$A:$AAY,MATCH($AA219,'Profit and Loss Highlights'!$B:$B,0),MATCH(AN216,'Profit and Loss Highlights'!$1:$1,0)),"")</f>
        <v>2.1300448430493273E-2</v>
      </c>
      <c r="AO219" s="31">
        <f>IFERROR(INDEX('Profit and Loss Highlights'!$A:$AAY,MATCH($AA219,'Profit and Loss Highlights'!$B:$B,0),MATCH(AO216,'Profit and Loss Highlights'!$1:$1,0)),"")</f>
        <v>2.417088251826869E-2</v>
      </c>
      <c r="AP219" s="31">
        <f>IFERROR(INDEX('Profit and Loss Highlights'!$A:$AAY,MATCH($AA219,'Profit and Loss Highlights'!$B:$B,0),MATCH(AP216,'Profit and Loss Highlights'!$1:$1,0)),"")</f>
        <v>2.4363233665559248E-2</v>
      </c>
      <c r="AQ219" s="31">
        <f>IFERROR(INDEX('Profit and Loss Highlights'!$A:$AAY,MATCH($AA219,'Profit and Loss Highlights'!$B:$B,0),MATCH(AQ216,'Profit and Loss Highlights'!$1:$1,0)),"")</f>
        <v>2.0640956002172733E-2</v>
      </c>
      <c r="AR219" s="31">
        <f>IFERROR(INDEX('Profit and Loss Highlights'!$A:$AAY,MATCH($AA219,'Profit and Loss Highlights'!$B:$B,0),MATCH(AR216,'Profit and Loss Highlights'!$1:$1,0)),"")</f>
        <v>2.1207177814029365E-2</v>
      </c>
      <c r="AS219" s="31">
        <f>IFERROR(INDEX('Profit and Loss Highlights'!$A:$AAY,MATCH($AA219,'Profit and Loss Highlights'!$B:$B,0),MATCH(AS216,'Profit and Loss Highlights'!$1:$1,0)),"")</f>
        <v>2.5419145484045429E-2</v>
      </c>
      <c r="AT219" s="31">
        <f>IFERROR(INDEX('Profit and Loss Highlights'!$A:$AAY,MATCH($AA219,'Profit and Loss Highlights'!$B:$B,0),MATCH(AT216,'Profit and Loss Highlights'!$1:$1,0)),"")</f>
        <v>2.3205612520237454E-2</v>
      </c>
      <c r="AU219" s="31">
        <f>IFERROR(INDEX('Profit and Loss Highlights'!$A:$AAY,MATCH($AA219,'Profit and Loss Highlights'!$B:$B,0),MATCH(AU216,'Profit and Loss Highlights'!$1:$1,0)),"")</f>
        <v>2.5709694697375468E-2</v>
      </c>
    </row>
    <row r="220" spans="1:47" x14ac:dyDescent="0.35">
      <c r="A220" s="6"/>
      <c r="B220" s="6"/>
      <c r="C220" s="6"/>
      <c r="D220" s="6"/>
      <c r="E220" s="6"/>
      <c r="F220" s="6"/>
      <c r="G220" s="6"/>
      <c r="H220" s="6"/>
      <c r="I220" s="6"/>
      <c r="J220" s="6"/>
      <c r="K220" s="6"/>
      <c r="L220" s="6"/>
      <c r="M220" s="6"/>
      <c r="N220" s="6"/>
      <c r="O220" s="6"/>
      <c r="P220" s="6"/>
      <c r="Q220" s="6"/>
      <c r="R220" s="6"/>
      <c r="S220" s="6"/>
      <c r="T220" s="6"/>
      <c r="U220" s="6"/>
      <c r="V220" s="6"/>
      <c r="W220" s="6"/>
      <c r="AA220" s="29" t="str">
        <f>'Profit and Loss Highlights'!B139</f>
        <v>Staff costs % SR</v>
      </c>
      <c r="AB220" s="31">
        <f>IFERROR(INDEX('Profit and Loss Highlights'!$A:$AAY,MATCH($AA220,'Profit and Loss Highlights'!$B:$B,0),MATCH(AB216,'Profit and Loss Highlights'!$1:$1,0)),"")</f>
        <v>9.3050647820965837E-2</v>
      </c>
      <c r="AC220" s="31">
        <f>IFERROR(INDEX('Profit and Loss Highlights'!$A:$AAY,MATCH($AA220,'Profit and Loss Highlights'!$B:$B,0),MATCH(AC216,'Profit and Loss Highlights'!$1:$1,0)),"")</f>
        <v>0.10722891566265061</v>
      </c>
      <c r="AD220" s="31">
        <f>IFERROR(INDEX('Profit and Loss Highlights'!$A:$AAY,MATCH($AA220,'Profit and Loss Highlights'!$B:$B,0),MATCH(AD216,'Profit and Loss Highlights'!$1:$1,0)),"")</f>
        <v>0.10221159593544531</v>
      </c>
      <c r="AE220" s="31">
        <f>IFERROR(INDEX('Profit and Loss Highlights'!$A:$AAY,MATCH($AA220,'Profit and Loss Highlights'!$B:$B,0),MATCH(AE216,'Profit and Loss Highlights'!$1:$1,0)),"")</f>
        <v>9.8015634395670473E-2</v>
      </c>
      <c r="AF220" s="31">
        <f>IFERROR(INDEX('Profit and Loss Highlights'!$A:$AAY,MATCH($AA220,'Profit and Loss Highlights'!$B:$B,0),MATCH(AF216,'Profit and Loss Highlights'!$1:$1,0)),"")</f>
        <v>0.10997596153846154</v>
      </c>
      <c r="AG220" s="31">
        <f>IFERROR(INDEX('Profit and Loss Highlights'!$A:$AAY,MATCH($AA220,'Profit and Loss Highlights'!$B:$B,0),MATCH(AG216,'Profit and Loss Highlights'!$1:$1,0)),"")</f>
        <v>0.10551274451689389</v>
      </c>
      <c r="AH220" s="31">
        <f>IFERROR(INDEX('Profit and Loss Highlights'!$A:$AAY,MATCH($AA220,'Profit and Loss Highlights'!$B:$B,0),MATCH(AH216,'Profit and Loss Highlights'!$1:$1,0)),"")</f>
        <v>0.10670553935860058</v>
      </c>
      <c r="AI220" s="31">
        <f>IFERROR(INDEX('Profit and Loss Highlights'!$A:$AAY,MATCH($AA220,'Profit and Loss Highlights'!$B:$B,0),MATCH(AI216,'Profit and Loss Highlights'!$1:$1,0)),"")</f>
        <v>0.11409796893667862</v>
      </c>
      <c r="AJ220" s="31">
        <f>IFERROR(INDEX('Profit and Loss Highlights'!$A:$AAY,MATCH($AA220,'Profit and Loss Highlights'!$B:$B,0),MATCH(AJ216,'Profit and Loss Highlights'!$1:$1,0)),"")</f>
        <v>0.12367491166077739</v>
      </c>
      <c r="AK220" s="31">
        <f>IFERROR(INDEX('Profit and Loss Highlights'!$A:$AAY,MATCH($AA220,'Profit and Loss Highlights'!$B:$B,0),MATCH(AK216,'Profit and Loss Highlights'!$1:$1,0)),"")</f>
        <v>0.11098398169336385</v>
      </c>
      <c r="AL220" s="31">
        <f>IFERROR(INDEX('Profit and Loss Highlights'!$A:$AAY,MATCH($AA220,'Profit and Loss Highlights'!$B:$B,0),MATCH(AL216,'Profit and Loss Highlights'!$1:$1,0)),"")</f>
        <v>0.10916289592760181</v>
      </c>
      <c r="AM220" s="31">
        <f>IFERROR(INDEX('Profit and Loss Highlights'!$A:$AAY,MATCH($AA220,'Profit and Loss Highlights'!$B:$B,0),MATCH(AM216,'Profit and Loss Highlights'!$1:$1,0)),"")</f>
        <v>0.12046848856664807</v>
      </c>
      <c r="AN220" s="31">
        <f>IFERROR(INDEX('Profit and Loss Highlights'!$A:$AAY,MATCH($AA220,'Profit and Loss Highlights'!$B:$B,0),MATCH(AN216,'Profit and Loss Highlights'!$1:$1,0)),"")</f>
        <v>0.11210762331838565</v>
      </c>
      <c r="AO220" s="31">
        <f>IFERROR(INDEX('Profit and Loss Highlights'!$A:$AAY,MATCH($AA220,'Profit and Loss Highlights'!$B:$B,0),MATCH(AO216,'Profit and Loss Highlights'!$1:$1,0)),"")</f>
        <v>0.1135469364811692</v>
      </c>
      <c r="AP220" s="31">
        <f>IFERROR(INDEX('Profit and Loss Highlights'!$A:$AAY,MATCH($AA220,'Profit and Loss Highlights'!$B:$B,0),MATCH(AP216,'Profit and Loss Highlights'!$1:$1,0)),"")</f>
        <v>0.15337763012181616</v>
      </c>
      <c r="AQ220" s="31">
        <f>IFERROR(INDEX('Profit and Loss Highlights'!$A:$AAY,MATCH($AA220,'Profit and Loss Highlights'!$B:$B,0),MATCH(AQ216,'Profit and Loss Highlights'!$1:$1,0)),"")</f>
        <v>0.10917979359043997</v>
      </c>
      <c r="AR220" s="31">
        <f>IFERROR(INDEX('Profit and Loss Highlights'!$A:$AAY,MATCH($AA220,'Profit and Loss Highlights'!$B:$B,0),MATCH(AR216,'Profit and Loss Highlights'!$1:$1,0)),"")</f>
        <v>0.10984230560087004</v>
      </c>
      <c r="AS220" s="31">
        <f>IFERROR(INDEX('Profit and Loss Highlights'!$A:$AAY,MATCH($AA220,'Profit and Loss Highlights'!$B:$B,0),MATCH(AS216,'Profit and Loss Highlights'!$1:$1,0)),"")</f>
        <v>0.11249323958896701</v>
      </c>
      <c r="AT220" s="31">
        <f>IFERROR(INDEX('Profit and Loss Highlights'!$A:$AAY,MATCH($AA220,'Profit and Loss Highlights'!$B:$B,0),MATCH(AT216,'Profit and Loss Highlights'!$1:$1,0)),"")</f>
        <v>0.11009174311926606</v>
      </c>
      <c r="AU220" s="31">
        <f>IFERROR(INDEX('Profit and Loss Highlights'!$A:$AAY,MATCH($AA220,'Profit and Loss Highlights'!$B:$B,0),MATCH(AU216,'Profit and Loss Highlights'!$1:$1,0)),"")</f>
        <v>0.1205141938939475</v>
      </c>
    </row>
    <row r="221" spans="1:47" x14ac:dyDescent="0.35">
      <c r="A221" s="6"/>
      <c r="B221" s="6"/>
      <c r="C221" s="6"/>
      <c r="D221" s="6"/>
      <c r="E221" s="6"/>
      <c r="F221" s="6"/>
      <c r="G221" s="6"/>
      <c r="H221" s="6"/>
      <c r="I221" s="6"/>
      <c r="J221" s="6"/>
      <c r="K221" s="6"/>
      <c r="L221" s="6"/>
      <c r="M221" s="6"/>
      <c r="N221" s="6"/>
      <c r="O221" s="6"/>
      <c r="P221" s="6"/>
      <c r="Q221" s="6"/>
      <c r="R221" s="6"/>
      <c r="S221" s="6"/>
      <c r="T221" s="6"/>
      <c r="U221" s="6"/>
      <c r="V221" s="6"/>
      <c r="W221" s="6"/>
      <c r="AA221" s="29" t="str">
        <f>'Profit and Loss Highlights'!B140</f>
        <v>Operational and Maintenance % SR</v>
      </c>
      <c r="AB221" s="31">
        <f>IFERROR(INDEX('Profit and Loss Highlights'!$A:$AAY,MATCH($AA221,'Profit and Loss Highlights'!$B:$B,0),MATCH(AB216,'Profit and Loss Highlights'!$1:$1,0)),"")</f>
        <v>6.3015312131919909E-2</v>
      </c>
      <c r="AC221" s="31">
        <f>IFERROR(INDEX('Profit and Loss Highlights'!$A:$AAY,MATCH($AA221,'Profit and Loss Highlights'!$B:$B,0),MATCH(AC216,'Profit and Loss Highlights'!$1:$1,0)),"")</f>
        <v>5.7228915662650599E-2</v>
      </c>
      <c r="AD221" s="31">
        <f>IFERROR(INDEX('Profit and Loss Highlights'!$A:$AAY,MATCH($AA221,'Profit and Loss Highlights'!$B:$B,0),MATCH(AD216,'Profit and Loss Highlights'!$1:$1,0)),"")</f>
        <v>6.6347878063359234E-2</v>
      </c>
      <c r="AE221" s="31">
        <f>IFERROR(INDEX('Profit and Loss Highlights'!$A:$AAY,MATCH($AA221,'Profit and Loss Highlights'!$B:$B,0),MATCH(AE216,'Profit and Loss Highlights'!$1:$1,0)),"")</f>
        <v>8.4185207456404093E-2</v>
      </c>
      <c r="AF221" s="31">
        <f>IFERROR(INDEX('Profit and Loss Highlights'!$A:$AAY,MATCH($AA221,'Profit and Loss Highlights'!$B:$B,0),MATCH(AF216,'Profit and Loss Highlights'!$1:$1,0)),"")</f>
        <v>5.9495192307692304E-2</v>
      </c>
      <c r="AG221" s="31">
        <f>IFERROR(INDEX('Profit and Loss Highlights'!$A:$AAY,MATCH($AA221,'Profit and Loss Highlights'!$B:$B,0),MATCH(AG216,'Profit and Loss Highlights'!$1:$1,0)),"")</f>
        <v>5.0978067575577948E-2</v>
      </c>
      <c r="AH221" s="31">
        <f>IFERROR(INDEX('Profit and Loss Highlights'!$A:$AAY,MATCH($AA221,'Profit and Loss Highlights'!$B:$B,0),MATCH(AH216,'Profit and Loss Highlights'!$1:$1,0)),"")</f>
        <v>5.9475218658892132E-2</v>
      </c>
      <c r="AI221" s="31">
        <f>IFERROR(INDEX('Profit and Loss Highlights'!$A:$AAY,MATCH($AA221,'Profit and Loss Highlights'!$B:$B,0),MATCH(AI216,'Profit and Loss Highlights'!$1:$1,0)),"")</f>
        <v>6.8100358422939072E-2</v>
      </c>
      <c r="AJ221" s="31">
        <f>IFERROR(INDEX('Profit and Loss Highlights'!$A:$AAY,MATCH($AA221,'Profit and Loss Highlights'!$B:$B,0),MATCH(AJ216,'Profit and Loss Highlights'!$1:$1,0)),"")</f>
        <v>5.1236749116607777E-2</v>
      </c>
      <c r="AK221" s="31">
        <f>IFERROR(INDEX('Profit and Loss Highlights'!$A:$AAY,MATCH($AA221,'Profit and Loss Highlights'!$B:$B,0),MATCH(AK216,'Profit and Loss Highlights'!$1:$1,0)),"")</f>
        <v>5.4919908466819219E-2</v>
      </c>
      <c r="AL221" s="31">
        <f>IFERROR(INDEX('Profit and Loss Highlights'!$A:$AAY,MATCH($AA221,'Profit and Loss Highlights'!$B:$B,0),MATCH(AL216,'Profit and Loss Highlights'!$1:$1,0)),"")</f>
        <v>5.7692307692307696E-2</v>
      </c>
      <c r="AM221" s="31">
        <f>IFERROR(INDEX('Profit and Loss Highlights'!$A:$AAY,MATCH($AA221,'Profit and Loss Highlights'!$B:$B,0),MATCH(AM216,'Profit and Loss Highlights'!$1:$1,0)),"")</f>
        <v>6.0791968767428893E-2</v>
      </c>
      <c r="AN221" s="31">
        <f>IFERROR(INDEX('Profit and Loss Highlights'!$A:$AAY,MATCH($AA221,'Profit and Loss Highlights'!$B:$B,0),MATCH(AN216,'Profit and Loss Highlights'!$1:$1,0)),"")</f>
        <v>5.9417040358744393E-2</v>
      </c>
      <c r="AO221" s="31">
        <f>IFERROR(INDEX('Profit and Loss Highlights'!$A:$AAY,MATCH($AA221,'Profit and Loss Highlights'!$B:$B,0),MATCH(AO216,'Profit and Loss Highlights'!$1:$1,0)),"")</f>
        <v>5.2838673412029233E-2</v>
      </c>
      <c r="AP221" s="31">
        <f>IFERROR(INDEX('Profit and Loss Highlights'!$A:$AAY,MATCH($AA221,'Profit and Loss Highlights'!$B:$B,0),MATCH(AP216,'Profit and Loss Highlights'!$1:$1,0)),"")</f>
        <v>5.647840531561462E-2</v>
      </c>
      <c r="AQ221" s="31">
        <f>IFERROR(INDEX('Profit and Loss Highlights'!$A:$AAY,MATCH($AA221,'Profit and Loss Highlights'!$B:$B,0),MATCH(AQ216,'Profit and Loss Highlights'!$1:$1,0)),"")</f>
        <v>6.8441064638783272E-2</v>
      </c>
      <c r="AR221" s="31">
        <f>IFERROR(INDEX('Profit and Loss Highlights'!$A:$AAY,MATCH($AA221,'Profit and Loss Highlights'!$B:$B,0),MATCH(AR216,'Profit and Loss Highlights'!$1:$1,0)),"")</f>
        <v>5.5464926590538338E-2</v>
      </c>
      <c r="AS221" s="31">
        <f>IFERROR(INDEX('Profit and Loss Highlights'!$A:$AAY,MATCH($AA221,'Profit and Loss Highlights'!$B:$B,0),MATCH(AS216,'Profit and Loss Highlights'!$1:$1,0)),"")</f>
        <v>5.8950784207679824E-2</v>
      </c>
      <c r="AT221" s="31">
        <f>IFERROR(INDEX('Profit and Loss Highlights'!$A:$AAY,MATCH($AA221,'Profit and Loss Highlights'!$B:$B,0),MATCH(AT216,'Profit and Loss Highlights'!$1:$1,0)),"")</f>
        <v>6.9077172153264976E-2</v>
      </c>
      <c r="AU221" s="31">
        <f>IFERROR(INDEX('Profit and Loss Highlights'!$A:$AAY,MATCH($AA221,'Profit and Loss Highlights'!$B:$B,0),MATCH(AU216,'Profit and Loss Highlights'!$1:$1,0)),"")</f>
        <v>6.5881092662024632E-2</v>
      </c>
    </row>
    <row r="222" spans="1:47" x14ac:dyDescent="0.35">
      <c r="A222" s="6"/>
      <c r="B222" s="6"/>
      <c r="C222" s="6"/>
      <c r="D222" s="6"/>
      <c r="E222" s="6"/>
      <c r="F222" s="6"/>
      <c r="G222" s="6"/>
      <c r="H222" s="6"/>
      <c r="I222" s="6"/>
      <c r="J222" s="6"/>
      <c r="K222" s="6"/>
      <c r="L222" s="6"/>
      <c r="M222" s="6"/>
      <c r="N222" s="6"/>
      <c r="O222" s="6"/>
      <c r="P222" s="6"/>
      <c r="Q222" s="6"/>
      <c r="R222" s="6"/>
      <c r="S222" s="6"/>
      <c r="T222" s="6"/>
      <c r="U222" s="6"/>
      <c r="V222" s="6"/>
      <c r="W222" s="6"/>
      <c r="AA222" s="29" t="str">
        <f>'Profit and Loss Highlights'!B141</f>
        <v>USP Fund and Licence % SR</v>
      </c>
      <c r="AB222" s="31">
        <f>IFERROR(INDEX('Profit and Loss Highlights'!$A:$AAY,MATCH($AA222,'Profit and Loss Highlights'!$B:$B,0),MATCH(AB216,'Profit and Loss Highlights'!$1:$1,0)),"")</f>
        <v>3.0624263839811542E-2</v>
      </c>
      <c r="AC222" s="31">
        <f>IFERROR(INDEX('Profit and Loss Highlights'!$A:$AAY,MATCH($AA222,'Profit and Loss Highlights'!$B:$B,0),MATCH(AC216,'Profit and Loss Highlights'!$1:$1,0)),"")</f>
        <v>2.9518072289156625E-2</v>
      </c>
      <c r="AD222" s="31">
        <f>IFERROR(INDEX('Profit and Loss Highlights'!$A:$AAY,MATCH($AA222,'Profit and Loss Highlights'!$B:$B,0),MATCH(AD216,'Profit and Loss Highlights'!$1:$1,0)),"")</f>
        <v>3.0484160191273164E-2</v>
      </c>
      <c r="AE222" s="31">
        <f>IFERROR(INDEX('Profit and Loss Highlights'!$A:$AAY,MATCH($AA222,'Profit and Loss Highlights'!$B:$B,0),MATCH(AE216,'Profit and Loss Highlights'!$1:$1,0)),"")</f>
        <v>3.3072760072158751E-2</v>
      </c>
      <c r="AF222" s="31">
        <f>IFERROR(INDEX('Profit and Loss Highlights'!$A:$AAY,MATCH($AA222,'Profit and Loss Highlights'!$B:$B,0),MATCH(AF216,'Profit and Loss Highlights'!$1:$1,0)),"")</f>
        <v>3.3052884615384616E-2</v>
      </c>
      <c r="AG222" s="31">
        <f>IFERROR(INDEX('Profit and Loss Highlights'!$A:$AAY,MATCH($AA222,'Profit and Loss Highlights'!$B:$B,0),MATCH(AG216,'Profit and Loss Highlights'!$1:$1,0)),"")</f>
        <v>2.7860106698280974E-2</v>
      </c>
      <c r="AH222" s="31">
        <f>IFERROR(INDEX('Profit and Loss Highlights'!$A:$AAY,MATCH($AA222,'Profit and Loss Highlights'!$B:$B,0),MATCH(AH216,'Profit and Loss Highlights'!$1:$1,0)),"")</f>
        <v>3.0903790087463558E-2</v>
      </c>
      <c r="AI222" s="31">
        <f>IFERROR(INDEX('Profit and Loss Highlights'!$A:$AAY,MATCH($AA222,'Profit and Loss Highlights'!$B:$B,0),MATCH(AI216,'Profit and Loss Highlights'!$1:$1,0)),"")</f>
        <v>3.3452807646356032E-2</v>
      </c>
      <c r="AJ222" s="31">
        <f>IFERROR(INDEX('Profit and Loss Highlights'!$A:$AAY,MATCH($AA222,'Profit and Loss Highlights'!$B:$B,0),MATCH(AJ216,'Profit and Loss Highlights'!$1:$1,0)),"")</f>
        <v>0</v>
      </c>
      <c r="AK222" s="31">
        <f>IFERROR(INDEX('Profit and Loss Highlights'!$A:$AAY,MATCH($AA222,'Profit and Loss Highlights'!$B:$B,0),MATCH(AK216,'Profit and Loss Highlights'!$1:$1,0)),"")</f>
        <v>0</v>
      </c>
      <c r="AL222" s="31">
        <f>IFERROR(INDEX('Profit and Loss Highlights'!$A:$AAY,MATCH($AA222,'Profit and Loss Highlights'!$B:$B,0),MATCH(AL216,'Profit and Loss Highlights'!$1:$1,0)),"")</f>
        <v>0</v>
      </c>
      <c r="AM222" s="31">
        <f>IFERROR(INDEX('Profit and Loss Highlights'!$A:$AAY,MATCH($AA222,'Profit and Loss Highlights'!$B:$B,0),MATCH(AM216,'Profit and Loss Highlights'!$1:$1,0)),"")</f>
        <v>0</v>
      </c>
      <c r="AN222" s="31">
        <f>IFERROR(INDEX('Profit and Loss Highlights'!$A:$AAY,MATCH($AA222,'Profit and Loss Highlights'!$B:$B,0),MATCH(AN216,'Profit and Loss Highlights'!$1:$1,0)),"")</f>
        <v>0</v>
      </c>
      <c r="AO222" s="31">
        <f>IFERROR(INDEX('Profit and Loss Highlights'!$A:$AAY,MATCH($AA222,'Profit and Loss Highlights'!$B:$B,0),MATCH(AO216,'Profit and Loss Highlights'!$1:$1,0)),"")</f>
        <v>0</v>
      </c>
      <c r="AP222" s="31">
        <f>IFERROR(INDEX('Profit and Loss Highlights'!$A:$AAY,MATCH($AA222,'Profit and Loss Highlights'!$B:$B,0),MATCH(AP216,'Profit and Loss Highlights'!$1:$1,0)),"")</f>
        <v>0</v>
      </c>
      <c r="AQ222" s="31">
        <f>IFERROR(INDEX('Profit and Loss Highlights'!$A:$AAY,MATCH($AA222,'Profit and Loss Highlights'!$B:$B,0),MATCH(AQ216,'Profit and Loss Highlights'!$1:$1,0)),"")</f>
        <v>0</v>
      </c>
      <c r="AR222" s="31">
        <f>IFERROR(INDEX('Profit and Loss Highlights'!$A:$AAY,MATCH($AA222,'Profit and Loss Highlights'!$B:$B,0),MATCH(AR216,'Profit and Loss Highlights'!$1:$1,0)),"")</f>
        <v>0</v>
      </c>
      <c r="AS222" s="31">
        <f>IFERROR(INDEX('Profit and Loss Highlights'!$A:$AAY,MATCH($AA222,'Profit and Loss Highlights'!$B:$B,0),MATCH(AS216,'Profit and Loss Highlights'!$1:$1,0)),"")</f>
        <v>0</v>
      </c>
      <c r="AT222" s="31">
        <f>IFERROR(INDEX('Profit and Loss Highlights'!$A:$AAY,MATCH($AA222,'Profit and Loss Highlights'!$B:$B,0),MATCH(AT216,'Profit and Loss Highlights'!$1:$1,0)),"")</f>
        <v>0</v>
      </c>
      <c r="AU222" s="31">
        <f>IFERROR(INDEX('Profit and Loss Highlights'!$A:$AAY,MATCH($AA222,'Profit and Loss Highlights'!$B:$B,0),MATCH(AU216,'Profit and Loss Highlights'!$1:$1,0)),"")</f>
        <v>0</v>
      </c>
    </row>
    <row r="223" spans="1:47" x14ac:dyDescent="0.35">
      <c r="A223" s="6"/>
      <c r="B223" s="6"/>
      <c r="C223" s="6"/>
      <c r="D223" s="6"/>
      <c r="E223" s="6"/>
      <c r="F223" s="6"/>
      <c r="G223" s="6"/>
      <c r="H223" s="6"/>
      <c r="I223" s="6"/>
      <c r="J223" s="6"/>
      <c r="K223" s="6"/>
      <c r="L223" s="6"/>
      <c r="M223" s="6"/>
      <c r="N223" s="6"/>
      <c r="O223" s="6"/>
      <c r="P223" s="6"/>
      <c r="Q223" s="6"/>
      <c r="R223" s="6"/>
      <c r="S223" s="6"/>
      <c r="T223" s="6"/>
      <c r="U223" s="6"/>
      <c r="V223" s="6"/>
      <c r="W223" s="6"/>
      <c r="AA223" s="29"/>
      <c r="AB223" s="31"/>
      <c r="AC223" s="31"/>
      <c r="AD223" s="31"/>
      <c r="AE223" s="31"/>
      <c r="AF223" s="31"/>
      <c r="AG223" s="31"/>
      <c r="AH223" s="31"/>
      <c r="AI223" s="31"/>
      <c r="AJ223" s="31"/>
      <c r="AK223" s="31"/>
      <c r="AL223" s="31"/>
      <c r="AM223" s="31"/>
      <c r="AN223" s="31"/>
      <c r="AO223" s="31"/>
      <c r="AP223" s="31"/>
      <c r="AQ223" s="31"/>
      <c r="AR223" s="31"/>
      <c r="AS223" s="31"/>
      <c r="AT223" s="31"/>
      <c r="AU223" s="31"/>
    </row>
    <row r="224" spans="1:47" x14ac:dyDescent="0.35">
      <c r="A224" s="6"/>
      <c r="B224" s="6"/>
      <c r="C224" s="6"/>
      <c r="D224" s="6"/>
      <c r="E224" s="6"/>
      <c r="F224" s="6"/>
      <c r="G224" s="6"/>
      <c r="H224" s="6"/>
      <c r="I224" s="6"/>
      <c r="J224" s="6"/>
      <c r="K224" s="6"/>
      <c r="L224" s="6"/>
      <c r="M224" s="6"/>
      <c r="N224" s="6"/>
      <c r="O224" s="6"/>
      <c r="P224" s="6"/>
      <c r="Q224" s="6"/>
      <c r="R224" s="6"/>
      <c r="S224" s="6"/>
      <c r="T224" s="6"/>
      <c r="U224" s="6"/>
      <c r="V224" s="6"/>
      <c r="W224" s="6"/>
    </row>
    <row r="225" spans="1:47" x14ac:dyDescent="0.35">
      <c r="A225" s="6"/>
      <c r="B225" s="6"/>
      <c r="C225" s="6"/>
      <c r="D225" s="6"/>
      <c r="E225" s="6"/>
      <c r="F225" s="6"/>
      <c r="G225" s="6"/>
      <c r="H225" s="6"/>
      <c r="I225" s="6"/>
      <c r="J225" s="6"/>
      <c r="K225" s="6"/>
      <c r="L225" s="6"/>
      <c r="M225" s="6"/>
      <c r="N225" s="6"/>
      <c r="O225" s="6"/>
      <c r="P225" s="6"/>
      <c r="Q225" s="6"/>
      <c r="R225" s="6"/>
      <c r="S225" s="6"/>
      <c r="T225" s="6"/>
      <c r="U225" s="6"/>
      <c r="V225" s="6"/>
      <c r="W225" s="6"/>
    </row>
    <row r="226" spans="1:47" x14ac:dyDescent="0.35">
      <c r="A226" s="6"/>
      <c r="B226" s="6"/>
      <c r="C226" s="6"/>
      <c r="D226" s="6"/>
      <c r="E226" s="6"/>
      <c r="F226" s="6"/>
      <c r="G226" s="6"/>
      <c r="H226" s="6"/>
      <c r="I226" s="6"/>
      <c r="J226" s="6"/>
      <c r="K226" s="6"/>
      <c r="L226" s="6"/>
      <c r="M226" s="6"/>
      <c r="N226" s="6"/>
      <c r="O226" s="6"/>
      <c r="P226" s="6"/>
      <c r="Q226" s="6"/>
      <c r="R226" s="6"/>
      <c r="S226" s="6"/>
      <c r="T226" s="6"/>
      <c r="U226" s="6"/>
      <c r="V226" s="6"/>
      <c r="W226" s="6"/>
      <c r="AB226" s="27">
        <f t="shared" ref="AB226" si="379">AC226-1</f>
        <v>33</v>
      </c>
      <c r="AC226" s="27">
        <f t="shared" ref="AC226" si="380">AD226-1</f>
        <v>34</v>
      </c>
      <c r="AD226" s="27">
        <f t="shared" ref="AD226" si="381">AE226-1</f>
        <v>35</v>
      </c>
      <c r="AE226" s="27">
        <f t="shared" ref="AE226" si="382">AF226-1</f>
        <v>36</v>
      </c>
      <c r="AF226" s="27">
        <f t="shared" ref="AF226" si="383">AG226-1</f>
        <v>37</v>
      </c>
      <c r="AG226" s="27">
        <f t="shared" ref="AG226" si="384">AH226-1</f>
        <v>38</v>
      </c>
      <c r="AH226" s="27">
        <f t="shared" ref="AH226" si="385">AI226-1</f>
        <v>39</v>
      </c>
      <c r="AI226" s="27">
        <f t="shared" ref="AI226" si="386">AJ226-1</f>
        <v>40</v>
      </c>
      <c r="AJ226" s="27">
        <f t="shared" ref="AJ226" si="387">AK226-1</f>
        <v>41</v>
      </c>
      <c r="AK226" s="27">
        <f t="shared" ref="AK226" si="388">AL226-1</f>
        <v>42</v>
      </c>
      <c r="AL226" s="27">
        <f t="shared" ref="AL226" si="389">AM226-1</f>
        <v>43</v>
      </c>
      <c r="AM226" s="27">
        <f t="shared" ref="AM226" si="390">AN226-1</f>
        <v>44</v>
      </c>
      <c r="AN226" s="27">
        <f t="shared" ref="AN226" si="391">AO226-1</f>
        <v>45</v>
      </c>
      <c r="AO226" s="27">
        <f t="shared" ref="AO226" si="392">AP226-1</f>
        <v>46</v>
      </c>
      <c r="AP226" s="27">
        <f t="shared" ref="AP226" si="393">AQ226-1</f>
        <v>47</v>
      </c>
      <c r="AQ226" s="27">
        <f t="shared" ref="AQ226" si="394">AR226-1</f>
        <v>48</v>
      </c>
      <c r="AR226" s="27">
        <f t="shared" ref="AR226" si="395">AS226-1</f>
        <v>49</v>
      </c>
      <c r="AS226" s="27">
        <f t="shared" ref="AS226" si="396">AT226-1</f>
        <v>50</v>
      </c>
      <c r="AT226" s="27">
        <f>AU226-1</f>
        <v>51</v>
      </c>
      <c r="AU226" s="27">
        <f>VLOOKUP(AU227,Dates!$A:$D,2,FALSE)</f>
        <v>52</v>
      </c>
    </row>
    <row r="227" spans="1:47" x14ac:dyDescent="0.35">
      <c r="A227" s="6"/>
      <c r="B227" s="6"/>
      <c r="C227" s="6"/>
      <c r="D227" s="6"/>
      <c r="E227" s="6"/>
      <c r="F227" s="6"/>
      <c r="G227" s="6"/>
      <c r="H227" s="6"/>
      <c r="I227" s="6"/>
      <c r="J227" s="6"/>
      <c r="K227" s="6"/>
      <c r="L227" s="6"/>
      <c r="M227" s="6"/>
      <c r="N227" s="6"/>
      <c r="O227" s="6"/>
      <c r="P227" s="6"/>
      <c r="Q227" s="6"/>
      <c r="R227" s="6"/>
      <c r="S227" s="6"/>
      <c r="T227" s="6"/>
      <c r="U227" s="6"/>
      <c r="V227" s="6"/>
      <c r="W227" s="6"/>
      <c r="AB227" s="27" t="str">
        <f>IFERROR(VLOOKUP(AB226,Dates!$B:$D,3,FALSE),"")</f>
        <v>1Q20</v>
      </c>
      <c r="AC227" s="27" t="str">
        <f>IFERROR(VLOOKUP(AC226,Dates!$B:$D,3,FALSE),"")</f>
        <v>2Q20</v>
      </c>
      <c r="AD227" s="27" t="str">
        <f>IFERROR(VLOOKUP(AD226,Dates!$B:$D,3,FALSE),"")</f>
        <v>3Q20</v>
      </c>
      <c r="AE227" s="27" t="str">
        <f>IFERROR(VLOOKUP(AE226,Dates!$B:$D,3,FALSE),"")</f>
        <v>4Q20</v>
      </c>
      <c r="AF227" s="27" t="str">
        <f>IFERROR(VLOOKUP(AF226,Dates!$B:$D,3,FALSE),"")</f>
        <v>1Q21</v>
      </c>
      <c r="AG227" s="27" t="str">
        <f>IFERROR(VLOOKUP(AG226,Dates!$B:$D,3,FALSE),"")</f>
        <v>2Q21</v>
      </c>
      <c r="AH227" s="27" t="str">
        <f>IFERROR(VLOOKUP(AH226,Dates!$B:$D,3,FALSE),"")</f>
        <v>3Q21</v>
      </c>
      <c r="AI227" s="27" t="str">
        <f>IFERROR(VLOOKUP(AI226,Dates!$B:$D,3,FALSE),"")</f>
        <v>4Q21</v>
      </c>
      <c r="AJ227" s="27" t="str">
        <f>IFERROR(VLOOKUP(AJ226,Dates!$B:$D,3,FALSE),"")</f>
        <v>1Q22</v>
      </c>
      <c r="AK227" s="27" t="str">
        <f>IFERROR(VLOOKUP(AK226,Dates!$B:$D,3,FALSE),"")</f>
        <v>2Q22</v>
      </c>
      <c r="AL227" s="27" t="str">
        <f>IFERROR(VLOOKUP(AL226,Dates!$B:$D,3,FALSE),"")</f>
        <v>3Q22</v>
      </c>
      <c r="AM227" s="27" t="str">
        <f>IFERROR(VLOOKUP(AM226,Dates!$B:$D,3,FALSE),"")</f>
        <v>4Q22</v>
      </c>
      <c r="AN227" s="27" t="str">
        <f>IFERROR(VLOOKUP(AN226,Dates!$B:$D,3,FALSE),"")</f>
        <v>1Q23</v>
      </c>
      <c r="AO227" s="27" t="str">
        <f>IFERROR(VLOOKUP(AO226,Dates!$B:$D,3,FALSE),"")</f>
        <v>2Q23</v>
      </c>
      <c r="AP227" s="27" t="str">
        <f>IFERROR(VLOOKUP(AP226,Dates!$B:$D,3,FALSE),"")</f>
        <v>3Q23</v>
      </c>
      <c r="AQ227" s="27" t="str">
        <f>IFERROR(VLOOKUP(AQ226,Dates!$B:$D,3,FALSE),"")</f>
        <v>4Q23</v>
      </c>
      <c r="AR227" s="27" t="str">
        <f>IFERROR(VLOOKUP(AR226,Dates!$B:$D,3,FALSE),"")</f>
        <v>1Q24</v>
      </c>
      <c r="AS227" s="27" t="str">
        <f>IFERROR(VLOOKUP(AS226,Dates!$B:$D,3,FALSE),"")</f>
        <v>2Q24</v>
      </c>
      <c r="AT227" s="27" t="str">
        <f>IFERROR(VLOOKUP(AT226,Dates!$B:$D,3,FALSE),"")</f>
        <v>3Q24</v>
      </c>
      <c r="AU227" s="28" t="str">
        <f>$G$3</f>
        <v>4Q24</v>
      </c>
    </row>
    <row r="228" spans="1:47" x14ac:dyDescent="0.35">
      <c r="A228" s="6"/>
      <c r="B228" s="6"/>
      <c r="C228" s="6"/>
      <c r="D228" s="6"/>
      <c r="E228" s="6"/>
      <c r="F228" s="6"/>
      <c r="G228" s="6"/>
      <c r="H228" s="6"/>
      <c r="I228" s="6"/>
      <c r="J228" s="6"/>
      <c r="K228" s="6"/>
      <c r="L228" s="6"/>
      <c r="M228" s="6"/>
      <c r="N228" s="6"/>
      <c r="O228" s="6"/>
      <c r="P228" s="6"/>
      <c r="Q228" s="6"/>
      <c r="R228" s="6"/>
      <c r="S228" s="6"/>
      <c r="T228" s="6"/>
      <c r="U228" s="6"/>
      <c r="V228" s="6"/>
      <c r="W228" s="6"/>
      <c r="AA228" s="29" t="str">
        <f>'Profit and Loss Highlights'!B136</f>
        <v>Traffic costs % SR</v>
      </c>
      <c r="AB228" s="31">
        <f>IFERROR(INDEX('Profit and Loss Highlights'!$A:$AAY,MATCH($AA228,'Profit and Loss Highlights'!$B:$B,0),MATCH(AB227,'Profit and Loss Highlights'!$1:$1,0)),"")</f>
        <v>0.50412249705535928</v>
      </c>
      <c r="AC228" s="31">
        <f>IFERROR(INDEX('Profit and Loss Highlights'!$A:$AAY,MATCH($AA228,'Profit and Loss Highlights'!$B:$B,0),MATCH(AC227,'Profit and Loss Highlights'!$1:$1,0)),"")</f>
        <v>0.39156626506024095</v>
      </c>
      <c r="AD228" s="31">
        <f>IFERROR(INDEX('Profit and Loss Highlights'!$A:$AAY,MATCH($AA228,'Profit and Loss Highlights'!$B:$B,0),MATCH(AD227,'Profit and Loss Highlights'!$1:$1,0)),"")</f>
        <v>0.45845786013150031</v>
      </c>
      <c r="AE228" s="31">
        <f>IFERROR(INDEX('Profit and Loss Highlights'!$A:$AAY,MATCH($AA228,'Profit and Loss Highlights'!$B:$B,0),MATCH(AE227,'Profit and Loss Highlights'!$1:$1,0)),"")</f>
        <v>0.52555622369212263</v>
      </c>
      <c r="AF228" s="31">
        <f>IFERROR(INDEX('Profit and Loss Highlights'!$A:$AAY,MATCH($AA228,'Profit and Loss Highlights'!$B:$B,0),MATCH(AF227,'Profit and Loss Highlights'!$1:$1,0)),"")</f>
        <v>0.27884615384615385</v>
      </c>
      <c r="AG228" s="31">
        <f>IFERROR(INDEX('Profit and Loss Highlights'!$A:$AAY,MATCH($AA228,'Profit and Loss Highlights'!$B:$B,0),MATCH(AG227,'Profit and Loss Highlights'!$1:$1,0)),"")</f>
        <v>0.26852400711321872</v>
      </c>
      <c r="AH228" s="31">
        <f>IFERROR(INDEX('Profit and Loss Highlights'!$A:$AAY,MATCH($AA228,'Profit and Loss Highlights'!$B:$B,0),MATCH(AH227,'Profit and Loss Highlights'!$1:$1,0)),"")</f>
        <v>0.30087463556851313</v>
      </c>
      <c r="AI228" s="31">
        <f>IFERROR(INDEX('Profit and Loss Highlights'!$A:$AAY,MATCH($AA228,'Profit and Loss Highlights'!$B:$B,0),MATCH(AI227,'Profit and Loss Highlights'!$1:$1,0)),"")</f>
        <v>0.28494623655913981</v>
      </c>
      <c r="AJ228" s="31">
        <f>IFERROR(INDEX('Profit and Loss Highlights'!$A:$AAY,MATCH($AA228,'Profit and Loss Highlights'!$B:$B,0),MATCH(AJ227,'Profit and Loss Highlights'!$1:$1,0)),"")</f>
        <v>0.28268551236749118</v>
      </c>
      <c r="AK228" s="31">
        <f>IFERROR(INDEX('Profit and Loss Highlights'!$A:$AAY,MATCH($AA228,'Profit and Loss Highlights'!$B:$B,0),MATCH(AK227,'Profit and Loss Highlights'!$1:$1,0)),"")</f>
        <v>0.290045766590389</v>
      </c>
      <c r="AL228" s="31">
        <f>IFERROR(INDEX('Profit and Loss Highlights'!$A:$AAY,MATCH($AA228,'Profit and Loss Highlights'!$B:$B,0),MATCH(AL227,'Profit and Loss Highlights'!$1:$1,0)),"")</f>
        <v>0.2895927601809955</v>
      </c>
      <c r="AM228" s="31">
        <f>IFERROR(INDEX('Profit and Loss Highlights'!$A:$AAY,MATCH($AA228,'Profit and Loss Highlights'!$B:$B,0),MATCH(AM227,'Profit and Loss Highlights'!$1:$1,0)),"")</f>
        <v>0.27718906860011155</v>
      </c>
      <c r="AN228" s="31">
        <f>IFERROR(INDEX('Profit and Loss Highlights'!$A:$AAY,MATCH($AA228,'Profit and Loss Highlights'!$B:$B,0),MATCH(AN227,'Profit and Loss Highlights'!$1:$1,0)),"")</f>
        <v>0.27017937219730942</v>
      </c>
      <c r="AO228" s="31">
        <f>IFERROR(INDEX('Profit and Loss Highlights'!$A:$AAY,MATCH($AA228,'Profit and Loss Highlights'!$B:$B,0),MATCH(AO227,'Profit and Loss Highlights'!$1:$1,0)),"")</f>
        <v>0.27093872962338394</v>
      </c>
      <c r="AP228" s="31">
        <f>IFERROR(INDEX('Profit and Loss Highlights'!$A:$AAY,MATCH($AA228,'Profit and Loss Highlights'!$B:$B,0),MATCH(AP227,'Profit and Loss Highlights'!$1:$1,0)),"")</f>
        <v>0.26688815060908083</v>
      </c>
      <c r="AQ228" s="31">
        <f>IFERROR(INDEX('Profit and Loss Highlights'!$A:$AAY,MATCH($AA228,'Profit and Loss Highlights'!$B:$B,0),MATCH(AQ227,'Profit and Loss Highlights'!$1:$1,0)),"")</f>
        <v>0.63824008690928846</v>
      </c>
      <c r="AR228" s="31">
        <f>IFERROR(INDEX('Profit and Loss Highlights'!$A:$AAY,MATCH($AA228,'Profit and Loss Highlights'!$B:$B,0),MATCH(AR227,'Profit and Loss Highlights'!$1:$1,0)),"")</f>
        <v>0.56389342033713974</v>
      </c>
      <c r="AS228" s="31">
        <f>IFERROR(INDEX('Profit and Loss Highlights'!$A:$AAY,MATCH($AA228,'Profit and Loss Highlights'!$B:$B,0),MATCH(AS227,'Profit and Loss Highlights'!$1:$1,0)),"")</f>
        <v>0.5386695511087074</v>
      </c>
      <c r="AT228" s="31">
        <f>IFERROR(INDEX('Profit and Loss Highlights'!$A:$AAY,MATCH($AA228,'Profit and Loss Highlights'!$B:$B,0),MATCH(AT227,'Profit and Loss Highlights'!$1:$1,0)),"")</f>
        <v>0.52401511063140849</v>
      </c>
      <c r="AU228" s="31">
        <f>IFERROR(INDEX('Profit and Loss Highlights'!$A:$AAY,MATCH($AA228,'Profit and Loss Highlights'!$B:$B,0),MATCH(AU227,'Profit and Loss Highlights'!$1:$1,0)),"")</f>
        <v>0.63256561328334227</v>
      </c>
    </row>
    <row r="229" spans="1:47" x14ac:dyDescent="0.35">
      <c r="A229" s="6"/>
      <c r="B229" s="6"/>
      <c r="C229" s="6"/>
      <c r="D229" s="6"/>
      <c r="E229" s="6"/>
      <c r="F229" s="6"/>
      <c r="G229" s="6"/>
      <c r="H229" s="6"/>
      <c r="I229" s="6"/>
      <c r="J229" s="6"/>
      <c r="K229" s="6"/>
      <c r="L229" s="6"/>
      <c r="M229" s="6"/>
      <c r="N229" s="6"/>
      <c r="O229" s="6"/>
      <c r="P229" s="6"/>
      <c r="Q229" s="6"/>
      <c r="R229" s="6"/>
      <c r="S229" s="6"/>
      <c r="T229" s="6"/>
      <c r="U229" s="6"/>
      <c r="V229" s="6"/>
      <c r="W229" s="6"/>
      <c r="AB229" s="30"/>
      <c r="AC229" s="30"/>
      <c r="AD229" s="30"/>
      <c r="AE229" s="30"/>
      <c r="AF229" s="30"/>
      <c r="AG229" s="30"/>
      <c r="AH229" s="30"/>
      <c r="AI229" s="30"/>
      <c r="AJ229" s="30"/>
      <c r="AK229" s="30"/>
      <c r="AL229" s="30"/>
      <c r="AM229" s="30"/>
      <c r="AN229" s="30"/>
      <c r="AO229" s="30"/>
      <c r="AP229" s="30"/>
      <c r="AQ229" s="30"/>
      <c r="AR229" s="30"/>
      <c r="AS229" s="30"/>
      <c r="AT229" s="30"/>
      <c r="AU229" s="30"/>
    </row>
    <row r="230" spans="1:47" x14ac:dyDescent="0.35">
      <c r="A230" s="6"/>
      <c r="B230" s="6"/>
      <c r="C230" s="6"/>
      <c r="D230" s="6"/>
      <c r="E230" s="6"/>
      <c r="F230" s="6"/>
      <c r="G230" s="6"/>
      <c r="H230" s="6"/>
      <c r="I230" s="6"/>
      <c r="J230" s="6"/>
      <c r="K230" s="6"/>
      <c r="L230" s="6"/>
      <c r="M230" s="6"/>
      <c r="N230" s="6"/>
      <c r="O230" s="6"/>
      <c r="P230" s="6"/>
      <c r="Q230" s="6"/>
      <c r="R230" s="6"/>
      <c r="S230" s="6"/>
      <c r="T230" s="6"/>
      <c r="U230" s="6"/>
      <c r="V230" s="6"/>
      <c r="W230" s="6"/>
    </row>
    <row r="231" spans="1:47" x14ac:dyDescent="0.35">
      <c r="A231" s="6"/>
      <c r="B231" s="6"/>
      <c r="C231" s="6"/>
      <c r="D231" s="6"/>
      <c r="E231" s="6"/>
      <c r="F231" s="6"/>
      <c r="G231" s="6"/>
      <c r="H231" s="6"/>
      <c r="I231" s="6"/>
      <c r="J231" s="6"/>
      <c r="K231" s="6"/>
      <c r="L231" s="6"/>
      <c r="M231" s="6"/>
      <c r="N231" s="6"/>
      <c r="O231" s="6"/>
      <c r="P231" s="6"/>
      <c r="Q231" s="6"/>
      <c r="R231" s="6"/>
      <c r="S231" s="6"/>
      <c r="T231" s="6"/>
      <c r="U231" s="6"/>
      <c r="V231" s="6"/>
      <c r="W231" s="6"/>
    </row>
    <row r="232" spans="1:47" x14ac:dyDescent="0.35">
      <c r="A232" s="1" t="s">
        <v>56</v>
      </c>
      <c r="B232" s="1" t="s">
        <v>129</v>
      </c>
      <c r="C232" s="1"/>
      <c r="D232" s="1"/>
      <c r="E232" s="1"/>
      <c r="F232" s="1"/>
      <c r="G232" s="1"/>
      <c r="H232" s="1"/>
      <c r="I232" s="1"/>
      <c r="J232" s="1"/>
      <c r="K232" s="1"/>
      <c r="L232" s="1"/>
      <c r="M232" s="1"/>
      <c r="N232" s="1"/>
      <c r="O232" s="1"/>
      <c r="P232" s="1"/>
      <c r="Q232" s="1"/>
      <c r="R232" s="1"/>
      <c r="S232" s="1"/>
      <c r="T232" s="1"/>
      <c r="U232" s="6"/>
      <c r="V232" s="6"/>
      <c r="W232" s="6"/>
    </row>
    <row r="233" spans="1:47" x14ac:dyDescent="0.35">
      <c r="A233" s="6"/>
      <c r="B233" s="6"/>
      <c r="C233" s="6"/>
      <c r="D233" s="6"/>
      <c r="E233" s="6"/>
      <c r="F233" s="6"/>
      <c r="G233" s="6"/>
      <c r="H233" s="6"/>
      <c r="I233" s="6"/>
      <c r="J233" s="6"/>
      <c r="K233" s="6"/>
      <c r="L233" s="6"/>
      <c r="M233" s="6"/>
      <c r="N233" s="6"/>
      <c r="O233" s="6"/>
      <c r="P233" s="6"/>
      <c r="Q233" s="6"/>
      <c r="R233" s="6"/>
      <c r="S233" s="6"/>
      <c r="T233" s="6"/>
      <c r="U233" s="6"/>
      <c r="V233" s="6"/>
      <c r="W233" s="6"/>
    </row>
    <row r="234" spans="1:47" x14ac:dyDescent="0.35">
      <c r="A234" s="6"/>
      <c r="B234" s="6"/>
      <c r="C234" s="6"/>
      <c r="D234" s="6"/>
      <c r="E234" s="6"/>
      <c r="F234" s="6"/>
      <c r="G234" s="6"/>
      <c r="H234" s="6"/>
      <c r="I234" s="6"/>
      <c r="J234" s="6"/>
      <c r="K234" s="6"/>
      <c r="L234" s="6"/>
      <c r="M234" s="6"/>
      <c r="N234" s="6"/>
      <c r="O234" s="6"/>
      <c r="P234" s="6"/>
      <c r="Q234" s="6"/>
      <c r="R234" s="6"/>
      <c r="S234" s="6"/>
      <c r="T234" s="6"/>
      <c r="U234" s="6"/>
      <c r="V234" s="6"/>
      <c r="W234" s="6"/>
    </row>
    <row r="235" spans="1:47" x14ac:dyDescent="0.35">
      <c r="A235" s="6"/>
      <c r="B235" s="6"/>
      <c r="C235" s="6"/>
      <c r="D235" s="6"/>
      <c r="E235" s="6"/>
      <c r="F235" s="6"/>
      <c r="G235" s="6"/>
      <c r="H235" s="6"/>
      <c r="I235" s="6"/>
      <c r="J235" s="6"/>
      <c r="K235" s="6"/>
      <c r="L235" s="6"/>
      <c r="M235" s="6"/>
      <c r="N235" s="6"/>
      <c r="O235" s="6"/>
      <c r="P235" s="6"/>
      <c r="Q235" s="6"/>
      <c r="R235" s="6"/>
      <c r="S235" s="6"/>
      <c r="T235" s="6"/>
      <c r="U235" s="6"/>
      <c r="V235" s="6"/>
      <c r="W235" s="6"/>
      <c r="AB235" s="27">
        <f t="shared" ref="AB235" si="397">AC235-1</f>
        <v>33</v>
      </c>
      <c r="AC235" s="27">
        <f t="shared" ref="AC235" si="398">AD235-1</f>
        <v>34</v>
      </c>
      <c r="AD235" s="27">
        <f t="shared" ref="AD235" si="399">AE235-1</f>
        <v>35</v>
      </c>
      <c r="AE235" s="27">
        <f t="shared" ref="AE235" si="400">AF235-1</f>
        <v>36</v>
      </c>
      <c r="AF235" s="27">
        <f t="shared" ref="AF235" si="401">AG235-1</f>
        <v>37</v>
      </c>
      <c r="AG235" s="27">
        <f t="shared" ref="AG235" si="402">AH235-1</f>
        <v>38</v>
      </c>
      <c r="AH235" s="27">
        <f t="shared" ref="AH235" si="403">AI235-1</f>
        <v>39</v>
      </c>
      <c r="AI235" s="27">
        <f t="shared" ref="AI235" si="404">AJ235-1</f>
        <v>40</v>
      </c>
      <c r="AJ235" s="27">
        <f t="shared" ref="AJ235" si="405">AK235-1</f>
        <v>41</v>
      </c>
      <c r="AK235" s="27">
        <f t="shared" ref="AK235" si="406">AL235-1</f>
        <v>42</v>
      </c>
      <c r="AL235" s="27">
        <f t="shared" ref="AL235" si="407">AM235-1</f>
        <v>43</v>
      </c>
      <c r="AM235" s="27">
        <f t="shared" ref="AM235" si="408">AN235-1</f>
        <v>44</v>
      </c>
      <c r="AN235" s="27">
        <f t="shared" ref="AN235" si="409">AO235-1</f>
        <v>45</v>
      </c>
      <c r="AO235" s="27">
        <f t="shared" ref="AO235" si="410">AP235-1</f>
        <v>46</v>
      </c>
      <c r="AP235" s="27">
        <f t="shared" ref="AP235" si="411">AQ235-1</f>
        <v>47</v>
      </c>
      <c r="AQ235" s="27">
        <f t="shared" ref="AQ235" si="412">AR235-1</f>
        <v>48</v>
      </c>
      <c r="AR235" s="27">
        <f t="shared" ref="AR235" si="413">AS235-1</f>
        <v>49</v>
      </c>
      <c r="AS235" s="27">
        <f t="shared" ref="AS235" si="414">AT235-1</f>
        <v>50</v>
      </c>
      <c r="AT235" s="27">
        <f>AU235-1</f>
        <v>51</v>
      </c>
      <c r="AU235" s="27">
        <f>VLOOKUP(AU236,Dates!$A:$D,2,FALSE)</f>
        <v>52</v>
      </c>
    </row>
    <row r="236" spans="1:47" x14ac:dyDescent="0.35">
      <c r="A236" s="6"/>
      <c r="B236" s="6"/>
      <c r="C236" s="6"/>
      <c r="D236" s="6"/>
      <c r="E236" s="6"/>
      <c r="F236" s="6"/>
      <c r="G236" s="6"/>
      <c r="H236" s="6"/>
      <c r="I236" s="6"/>
      <c r="J236" s="6"/>
      <c r="K236" s="6"/>
      <c r="L236" s="6"/>
      <c r="M236" s="6"/>
      <c r="N236" s="6"/>
      <c r="O236" s="6"/>
      <c r="P236" s="6"/>
      <c r="Q236" s="6"/>
      <c r="R236" s="6"/>
      <c r="S236" s="6"/>
      <c r="T236" s="6"/>
      <c r="U236" s="6"/>
      <c r="V236" s="6"/>
      <c r="W236" s="6"/>
      <c r="AB236" s="27" t="str">
        <f>IFERROR(VLOOKUP(AB235,Dates!$B:$D,3,FALSE),"")</f>
        <v>1Q20</v>
      </c>
      <c r="AC236" s="27" t="str">
        <f>IFERROR(VLOOKUP(AC235,Dates!$B:$D,3,FALSE),"")</f>
        <v>2Q20</v>
      </c>
      <c r="AD236" s="27" t="str">
        <f>IFERROR(VLOOKUP(AD235,Dates!$B:$D,3,FALSE),"")</f>
        <v>3Q20</v>
      </c>
      <c r="AE236" s="27" t="str">
        <f>IFERROR(VLOOKUP(AE235,Dates!$B:$D,3,FALSE),"")</f>
        <v>4Q20</v>
      </c>
      <c r="AF236" s="27" t="str">
        <f>IFERROR(VLOOKUP(AF235,Dates!$B:$D,3,FALSE),"")</f>
        <v>1Q21</v>
      </c>
      <c r="AG236" s="27" t="str">
        <f>IFERROR(VLOOKUP(AG235,Dates!$B:$D,3,FALSE),"")</f>
        <v>2Q21</v>
      </c>
      <c r="AH236" s="27" t="str">
        <f>IFERROR(VLOOKUP(AH235,Dates!$B:$D,3,FALSE),"")</f>
        <v>3Q21</v>
      </c>
      <c r="AI236" s="27" t="str">
        <f>IFERROR(VLOOKUP(AI235,Dates!$B:$D,3,FALSE),"")</f>
        <v>4Q21</v>
      </c>
      <c r="AJ236" s="27" t="str">
        <f>IFERROR(VLOOKUP(AJ235,Dates!$B:$D,3,FALSE),"")</f>
        <v>1Q22</v>
      </c>
      <c r="AK236" s="27" t="str">
        <f>IFERROR(VLOOKUP(AK235,Dates!$B:$D,3,FALSE),"")</f>
        <v>2Q22</v>
      </c>
      <c r="AL236" s="27" t="str">
        <f>IFERROR(VLOOKUP(AL235,Dates!$B:$D,3,FALSE),"")</f>
        <v>3Q22</v>
      </c>
      <c r="AM236" s="27" t="str">
        <f>IFERROR(VLOOKUP(AM235,Dates!$B:$D,3,FALSE),"")</f>
        <v>4Q22</v>
      </c>
      <c r="AN236" s="27" t="str">
        <f>IFERROR(VLOOKUP(AN235,Dates!$B:$D,3,FALSE),"")</f>
        <v>1Q23</v>
      </c>
      <c r="AO236" s="27" t="str">
        <f>IFERROR(VLOOKUP(AO235,Dates!$B:$D,3,FALSE),"")</f>
        <v>2Q23</v>
      </c>
      <c r="AP236" s="27" t="str">
        <f>IFERROR(VLOOKUP(AP235,Dates!$B:$D,3,FALSE),"")</f>
        <v>3Q23</v>
      </c>
      <c r="AQ236" s="27" t="str">
        <f>IFERROR(VLOOKUP(AQ235,Dates!$B:$D,3,FALSE),"")</f>
        <v>4Q23</v>
      </c>
      <c r="AR236" s="27" t="str">
        <f>IFERROR(VLOOKUP(AR235,Dates!$B:$D,3,FALSE),"")</f>
        <v>1Q24</v>
      </c>
      <c r="AS236" s="27" t="str">
        <f>IFERROR(VLOOKUP(AS235,Dates!$B:$D,3,FALSE),"")</f>
        <v>2Q24</v>
      </c>
      <c r="AT236" s="27" t="str">
        <f>IFERROR(VLOOKUP(AT235,Dates!$B:$D,3,FALSE),"")</f>
        <v>3Q24</v>
      </c>
      <c r="AU236" s="28" t="str">
        <f>$G$3</f>
        <v>4Q24</v>
      </c>
    </row>
    <row r="237" spans="1:47" x14ac:dyDescent="0.35">
      <c r="A237" s="6"/>
      <c r="B237" s="6"/>
      <c r="C237" s="6"/>
      <c r="D237" s="6"/>
      <c r="E237" s="6"/>
      <c r="F237" s="6"/>
      <c r="G237" s="6"/>
      <c r="H237" s="6"/>
      <c r="I237" s="6"/>
      <c r="J237" s="6"/>
      <c r="K237" s="6"/>
      <c r="L237" s="6"/>
      <c r="M237" s="6"/>
      <c r="N237" s="6"/>
      <c r="O237" s="6"/>
      <c r="P237" s="6"/>
      <c r="Q237" s="6"/>
      <c r="R237" s="6"/>
      <c r="S237" s="6"/>
      <c r="T237" s="6"/>
      <c r="U237" s="6"/>
      <c r="V237" s="6"/>
      <c r="W237" s="6"/>
      <c r="AA237" s="29" t="str">
        <f>'Profit and Loss Highlights'!B138</f>
        <v>Sales and Marketing % SR</v>
      </c>
      <c r="AB237" s="31">
        <f>IFERROR(INDEX('Profit and Loss Highlights'!$A:$AAY,MATCH($AA237,'Profit and Loss Highlights'!$B:$B,0),MATCH(AB236,'Profit and Loss Highlights'!$1:$1,0)),"")</f>
        <v>2.3557126030624265E-2</v>
      </c>
      <c r="AC237" s="31">
        <f>IFERROR(INDEX('Profit and Loss Highlights'!$A:$AAY,MATCH($AA237,'Profit and Loss Highlights'!$B:$B,0),MATCH(AC236,'Profit and Loss Highlights'!$1:$1,0)),"")</f>
        <v>1.8072289156626505E-2</v>
      </c>
      <c r="AD237" s="31">
        <f>IFERROR(INDEX('Profit and Loss Highlights'!$A:$AAY,MATCH($AA237,'Profit and Loss Highlights'!$B:$B,0),MATCH(AD236,'Profit and Loss Highlights'!$1:$1,0)),"")</f>
        <v>2.7495517035265989E-2</v>
      </c>
      <c r="AE237" s="31">
        <f>IFERROR(INDEX('Profit and Loss Highlights'!$A:$AAY,MATCH($AA237,'Profit and Loss Highlights'!$B:$B,0),MATCH(AE236,'Profit and Loss Highlights'!$1:$1,0)),"")</f>
        <v>1.5634395670475046E-2</v>
      </c>
      <c r="AF237" s="31">
        <f>IFERROR(INDEX('Profit and Loss Highlights'!$A:$AAY,MATCH($AA237,'Profit and Loss Highlights'!$B:$B,0),MATCH(AF236,'Profit and Loss Highlights'!$1:$1,0)),"")</f>
        <v>2.4639423076923076E-2</v>
      </c>
      <c r="AG237" s="31">
        <f>IFERROR(INDEX('Profit and Loss Highlights'!$A:$AAY,MATCH($AA237,'Profit and Loss Highlights'!$B:$B,0),MATCH(AG236,'Profit and Loss Highlights'!$1:$1,0)),"")</f>
        <v>2.4896265560165973E-2</v>
      </c>
      <c r="AH237" s="31">
        <f>IFERROR(INDEX('Profit and Loss Highlights'!$A:$AAY,MATCH($AA237,'Profit and Loss Highlights'!$B:$B,0),MATCH(AH236,'Profit and Loss Highlights'!$1:$1,0)),"")</f>
        <v>2.8571428571428571E-2</v>
      </c>
      <c r="AI237" s="31">
        <f>IFERROR(INDEX('Profit and Loss Highlights'!$A:$AAY,MATCH($AA237,'Profit and Loss Highlights'!$B:$B,0),MATCH(AI236,'Profit and Loss Highlights'!$1:$1,0)),"")</f>
        <v>2.8673835125448029E-2</v>
      </c>
      <c r="AJ237" s="31">
        <f>IFERROR(INDEX('Profit and Loss Highlights'!$A:$AAY,MATCH($AA237,'Profit and Loss Highlights'!$B:$B,0),MATCH(AJ236,'Profit and Loss Highlights'!$1:$1,0)),"")</f>
        <v>2.2968197879858657E-2</v>
      </c>
      <c r="AK237" s="31">
        <f>IFERROR(INDEX('Profit and Loss Highlights'!$A:$AAY,MATCH($AA237,'Profit and Loss Highlights'!$B:$B,0),MATCH(AK236,'Profit and Loss Highlights'!$1:$1,0)),"")</f>
        <v>2.8604118993135013E-2</v>
      </c>
      <c r="AL237" s="31">
        <f>IFERROR(INDEX('Profit and Loss Highlights'!$A:$AAY,MATCH($AA237,'Profit and Loss Highlights'!$B:$B,0),MATCH(AL236,'Profit and Loss Highlights'!$1:$1,0)),"")</f>
        <v>2.7149321266968326E-2</v>
      </c>
      <c r="AM237" s="31">
        <f>IFERROR(INDEX('Profit and Loss Highlights'!$A:$AAY,MATCH($AA237,'Profit and Loss Highlights'!$B:$B,0),MATCH(AM236,'Profit and Loss Highlights'!$1:$1,0)),"")</f>
        <v>2.9001673173452314E-2</v>
      </c>
      <c r="AN237" s="31">
        <f>IFERROR(INDEX('Profit and Loss Highlights'!$A:$AAY,MATCH($AA237,'Profit and Loss Highlights'!$B:$B,0),MATCH(AN236,'Profit and Loss Highlights'!$1:$1,0)),"")</f>
        <v>2.1300448430493273E-2</v>
      </c>
      <c r="AO237" s="31">
        <f>IFERROR(INDEX('Profit and Loss Highlights'!$A:$AAY,MATCH($AA237,'Profit and Loss Highlights'!$B:$B,0),MATCH(AO236,'Profit and Loss Highlights'!$1:$1,0)),"")</f>
        <v>2.417088251826869E-2</v>
      </c>
      <c r="AP237" s="31">
        <f>IFERROR(INDEX('Profit and Loss Highlights'!$A:$AAY,MATCH($AA237,'Profit and Loss Highlights'!$B:$B,0),MATCH(AP236,'Profit and Loss Highlights'!$1:$1,0)),"")</f>
        <v>2.4363233665559248E-2</v>
      </c>
      <c r="AQ237" s="31">
        <f>IFERROR(INDEX('Profit and Loss Highlights'!$A:$AAY,MATCH($AA237,'Profit and Loss Highlights'!$B:$B,0),MATCH(AQ236,'Profit and Loss Highlights'!$1:$1,0)),"")</f>
        <v>2.0640956002172733E-2</v>
      </c>
      <c r="AR237" s="31">
        <f>IFERROR(INDEX('Profit and Loss Highlights'!$A:$AAY,MATCH($AA237,'Profit and Loss Highlights'!$B:$B,0),MATCH(AR236,'Profit and Loss Highlights'!$1:$1,0)),"")</f>
        <v>2.1207177814029365E-2</v>
      </c>
      <c r="AS237" s="31">
        <f>IFERROR(INDEX('Profit and Loss Highlights'!$A:$AAY,MATCH($AA237,'Profit and Loss Highlights'!$B:$B,0),MATCH(AS236,'Profit and Loss Highlights'!$1:$1,0)),"")</f>
        <v>2.5419145484045429E-2</v>
      </c>
      <c r="AT237" s="31">
        <f>IFERROR(INDEX('Profit and Loss Highlights'!$A:$AAY,MATCH($AA237,'Profit and Loss Highlights'!$B:$B,0),MATCH(AT236,'Profit and Loss Highlights'!$1:$1,0)),"")</f>
        <v>2.3205612520237454E-2</v>
      </c>
      <c r="AU237" s="31">
        <f>IFERROR(INDEX('Profit and Loss Highlights'!$A:$AAY,MATCH($AA237,'Profit and Loss Highlights'!$B:$B,0),MATCH(AU236,'Profit and Loss Highlights'!$1:$1,0)),"")</f>
        <v>2.5709694697375468E-2</v>
      </c>
    </row>
    <row r="238" spans="1:47" x14ac:dyDescent="0.35">
      <c r="A238" s="6"/>
      <c r="B238" s="6"/>
      <c r="C238" s="6"/>
      <c r="D238" s="6"/>
      <c r="E238" s="6"/>
      <c r="F238" s="6"/>
      <c r="G238" s="6"/>
      <c r="H238" s="6"/>
      <c r="I238" s="6"/>
      <c r="J238" s="6"/>
      <c r="K238" s="6"/>
      <c r="L238" s="6"/>
      <c r="M238" s="6"/>
      <c r="N238" s="6"/>
      <c r="O238" s="6"/>
      <c r="P238" s="6"/>
      <c r="Q238" s="6"/>
      <c r="R238" s="6"/>
      <c r="S238" s="6"/>
      <c r="T238" s="6"/>
      <c r="U238" s="6"/>
      <c r="V238" s="6"/>
      <c r="W238" s="6"/>
    </row>
    <row r="239" spans="1:47" x14ac:dyDescent="0.35">
      <c r="A239" s="6"/>
      <c r="B239" s="6"/>
      <c r="C239" s="6"/>
      <c r="D239" s="6"/>
      <c r="E239" s="6"/>
      <c r="F239" s="6"/>
      <c r="G239" s="6"/>
      <c r="H239" s="6"/>
      <c r="I239" s="6"/>
      <c r="J239" s="6"/>
      <c r="K239" s="6"/>
      <c r="L239" s="6"/>
      <c r="M239" s="6"/>
      <c r="N239" s="6"/>
      <c r="O239" s="6"/>
      <c r="P239" s="6"/>
      <c r="Q239" s="6"/>
      <c r="R239" s="6"/>
      <c r="S239" s="6"/>
      <c r="T239" s="6"/>
      <c r="U239" s="6"/>
      <c r="V239" s="6"/>
      <c r="W239" s="6"/>
    </row>
    <row r="240" spans="1:47" x14ac:dyDescent="0.35">
      <c r="A240" s="6"/>
      <c r="B240" s="6"/>
      <c r="C240" s="6"/>
      <c r="D240" s="6"/>
      <c r="E240" s="6"/>
      <c r="F240" s="6"/>
      <c r="G240" s="6"/>
      <c r="H240" s="6"/>
      <c r="I240" s="6"/>
      <c r="J240" s="6"/>
      <c r="K240" s="6"/>
      <c r="L240" s="6"/>
      <c r="M240" s="6"/>
      <c r="N240" s="6"/>
      <c r="O240" s="6"/>
      <c r="P240" s="6"/>
      <c r="Q240" s="6"/>
      <c r="R240" s="6"/>
      <c r="S240" s="6"/>
      <c r="T240" s="6"/>
      <c r="U240" s="6"/>
      <c r="V240" s="6"/>
      <c r="W240" s="6"/>
    </row>
    <row r="241" spans="1:47" x14ac:dyDescent="0.35">
      <c r="A241" s="6"/>
      <c r="B241" s="6"/>
      <c r="C241" s="6"/>
      <c r="D241" s="6"/>
      <c r="E241" s="6"/>
      <c r="F241" s="6"/>
      <c r="G241" s="6"/>
      <c r="H241" s="6"/>
      <c r="I241" s="6"/>
      <c r="J241" s="6"/>
      <c r="K241" s="6"/>
      <c r="L241" s="6"/>
      <c r="M241" s="6"/>
      <c r="N241" s="6"/>
      <c r="O241" s="6"/>
      <c r="P241" s="6"/>
      <c r="Q241" s="6"/>
      <c r="R241" s="6"/>
      <c r="S241" s="6"/>
      <c r="T241" s="6"/>
      <c r="U241" s="6"/>
      <c r="V241" s="6"/>
      <c r="W241" s="6"/>
    </row>
    <row r="242" spans="1:47" x14ac:dyDescent="0.35">
      <c r="A242" s="6"/>
      <c r="B242" s="6"/>
      <c r="C242" s="6"/>
      <c r="D242" s="6"/>
      <c r="E242" s="6"/>
      <c r="F242" s="6"/>
      <c r="G242" s="6"/>
      <c r="H242" s="6"/>
      <c r="I242" s="6"/>
      <c r="J242" s="6"/>
      <c r="K242" s="6"/>
      <c r="L242" s="6"/>
      <c r="M242" s="6"/>
      <c r="N242" s="6"/>
      <c r="O242" s="6"/>
      <c r="P242" s="6"/>
      <c r="Q242" s="6"/>
      <c r="R242" s="6"/>
      <c r="S242" s="6"/>
      <c r="T242" s="6"/>
      <c r="U242" s="6"/>
      <c r="V242" s="6"/>
      <c r="W242" s="6"/>
    </row>
    <row r="243" spans="1:47" x14ac:dyDescent="0.35">
      <c r="A243" s="6"/>
      <c r="B243" s="6"/>
      <c r="C243" s="6"/>
      <c r="D243" s="6"/>
      <c r="E243" s="6"/>
      <c r="F243" s="6"/>
      <c r="G243" s="6"/>
      <c r="H243" s="6"/>
      <c r="I243" s="6"/>
      <c r="J243" s="6"/>
      <c r="K243" s="6"/>
      <c r="L243" s="6"/>
      <c r="M243" s="6"/>
      <c r="N243" s="6"/>
      <c r="O243" s="6"/>
      <c r="P243" s="6"/>
      <c r="Q243" s="6"/>
      <c r="R243" s="6"/>
      <c r="S243" s="6"/>
      <c r="T243" s="6"/>
      <c r="U243" s="6"/>
      <c r="V243" s="6"/>
      <c r="W243" s="6"/>
    </row>
    <row r="244" spans="1:47" x14ac:dyDescent="0.35">
      <c r="A244" s="6"/>
      <c r="B244" s="6"/>
      <c r="C244" s="6"/>
      <c r="D244" s="6"/>
      <c r="E244" s="6"/>
      <c r="F244" s="6"/>
      <c r="G244" s="6"/>
      <c r="H244" s="6"/>
      <c r="I244" s="6"/>
      <c r="J244" s="6"/>
      <c r="K244" s="6"/>
      <c r="L244" s="6"/>
      <c r="M244" s="6"/>
      <c r="N244" s="6"/>
      <c r="O244" s="6"/>
      <c r="P244" s="6"/>
      <c r="Q244" s="6"/>
      <c r="R244" s="6"/>
      <c r="S244" s="6"/>
      <c r="T244" s="6"/>
      <c r="U244" s="6"/>
      <c r="V244" s="6"/>
      <c r="W244" s="6"/>
    </row>
    <row r="245" spans="1:47" x14ac:dyDescent="0.35">
      <c r="A245" s="6"/>
      <c r="B245" s="6"/>
      <c r="C245" s="6"/>
      <c r="D245" s="6"/>
      <c r="E245" s="6"/>
      <c r="F245" s="6"/>
      <c r="G245" s="6"/>
      <c r="H245" s="6"/>
      <c r="I245" s="6"/>
      <c r="J245" s="6"/>
      <c r="K245" s="6"/>
      <c r="L245" s="6"/>
      <c r="M245" s="6"/>
      <c r="N245" s="6"/>
      <c r="O245" s="6"/>
      <c r="P245" s="6"/>
      <c r="Q245" s="6"/>
      <c r="R245" s="6"/>
      <c r="S245" s="6"/>
      <c r="T245" s="6"/>
      <c r="U245" s="6"/>
      <c r="V245" s="6"/>
      <c r="W245" s="6"/>
    </row>
    <row r="246" spans="1:47" x14ac:dyDescent="0.35">
      <c r="A246" s="6"/>
      <c r="B246" s="6"/>
      <c r="C246" s="6"/>
      <c r="D246" s="6"/>
      <c r="E246" s="6"/>
      <c r="F246" s="6"/>
      <c r="G246" s="6"/>
      <c r="H246" s="6"/>
      <c r="I246" s="6"/>
      <c r="J246" s="6"/>
      <c r="K246" s="6"/>
      <c r="L246" s="6"/>
      <c r="M246" s="6"/>
      <c r="N246" s="6"/>
      <c r="O246" s="6"/>
      <c r="P246" s="6"/>
      <c r="Q246" s="6"/>
      <c r="R246" s="6"/>
      <c r="S246" s="6"/>
      <c r="T246" s="6"/>
      <c r="U246" s="6"/>
      <c r="V246" s="6"/>
      <c r="W246" s="6"/>
    </row>
    <row r="247" spans="1:47" x14ac:dyDescent="0.35">
      <c r="A247" s="6"/>
      <c r="B247" s="6"/>
      <c r="C247" s="6"/>
      <c r="D247" s="6"/>
      <c r="E247" s="6"/>
      <c r="F247" s="6"/>
      <c r="G247" s="6"/>
      <c r="H247" s="6"/>
      <c r="I247" s="6"/>
      <c r="J247" s="6"/>
      <c r="K247" s="6"/>
      <c r="L247" s="6"/>
      <c r="M247" s="6"/>
      <c r="N247" s="6"/>
      <c r="O247" s="6"/>
      <c r="P247" s="6"/>
      <c r="Q247" s="6"/>
      <c r="R247" s="6"/>
      <c r="S247" s="6"/>
      <c r="T247" s="6"/>
      <c r="U247" s="6"/>
      <c r="V247" s="6"/>
      <c r="W247" s="6"/>
    </row>
    <row r="248" spans="1:47" x14ac:dyDescent="0.35">
      <c r="A248" s="1" t="s">
        <v>64</v>
      </c>
      <c r="B248" s="1"/>
      <c r="C248" s="1"/>
      <c r="D248" s="1"/>
      <c r="E248" s="1"/>
      <c r="F248" s="1"/>
      <c r="G248" s="1"/>
      <c r="H248" s="1"/>
      <c r="I248" s="1"/>
      <c r="J248" s="1"/>
      <c r="K248" s="1"/>
      <c r="L248" s="1"/>
      <c r="M248" s="1"/>
      <c r="N248" s="1"/>
      <c r="O248" s="1"/>
      <c r="P248" s="1"/>
      <c r="Q248" s="1"/>
      <c r="R248" s="1"/>
      <c r="S248" s="1"/>
      <c r="T248" s="1"/>
      <c r="U248" s="6"/>
      <c r="V248" s="6"/>
      <c r="W248" s="6"/>
    </row>
    <row r="249" spans="1:47" x14ac:dyDescent="0.35">
      <c r="A249" s="1" t="s">
        <v>27</v>
      </c>
      <c r="B249" s="1" t="s">
        <v>101</v>
      </c>
      <c r="C249" s="1"/>
      <c r="D249" s="1"/>
      <c r="E249" s="1"/>
      <c r="F249" s="1"/>
      <c r="G249" s="1"/>
      <c r="H249" s="1"/>
      <c r="I249" s="1"/>
      <c r="J249" s="1"/>
      <c r="K249" s="1" t="s">
        <v>28</v>
      </c>
      <c r="L249" s="1" t="s">
        <v>100</v>
      </c>
      <c r="M249" s="1"/>
      <c r="N249" s="1"/>
      <c r="O249" s="1"/>
      <c r="P249" s="1"/>
      <c r="Q249" s="1"/>
      <c r="R249" s="1"/>
      <c r="S249" s="1"/>
      <c r="T249" s="1"/>
      <c r="U249" s="6"/>
      <c r="V249" s="6"/>
      <c r="W249" s="6"/>
    </row>
    <row r="250" spans="1:47" x14ac:dyDescent="0.35">
      <c r="A250" s="6"/>
      <c r="B250" s="6"/>
      <c r="C250" s="6"/>
      <c r="D250" s="6"/>
      <c r="E250" s="6"/>
      <c r="F250" s="6"/>
      <c r="G250" s="6"/>
      <c r="H250" s="6"/>
      <c r="I250" s="6"/>
      <c r="J250" s="6"/>
      <c r="K250" s="6"/>
      <c r="L250" s="6"/>
      <c r="M250" s="6"/>
      <c r="N250" s="6"/>
      <c r="O250" s="6"/>
      <c r="P250" s="6"/>
      <c r="Q250" s="6"/>
      <c r="R250" s="6"/>
      <c r="S250" s="6"/>
      <c r="T250" s="6"/>
      <c r="U250" s="6"/>
      <c r="V250" s="6"/>
      <c r="W250" s="6"/>
    </row>
    <row r="251" spans="1:47" x14ac:dyDescent="0.35">
      <c r="A251" s="6"/>
      <c r="B251" s="6"/>
      <c r="C251" s="6"/>
      <c r="D251" s="6"/>
      <c r="E251" s="6"/>
      <c r="F251" s="6"/>
      <c r="G251" s="6"/>
      <c r="H251" s="6"/>
      <c r="I251" s="6"/>
      <c r="J251" s="6"/>
      <c r="K251" s="6"/>
      <c r="L251" s="6"/>
      <c r="M251" s="6"/>
      <c r="N251" s="6"/>
      <c r="O251" s="6"/>
      <c r="P251" s="6"/>
      <c r="Q251" s="6"/>
      <c r="R251" s="6"/>
      <c r="S251" s="6"/>
      <c r="T251" s="6"/>
      <c r="U251" s="6"/>
      <c r="V251" s="6"/>
      <c r="W251" s="6"/>
    </row>
    <row r="252" spans="1:47" x14ac:dyDescent="0.35">
      <c r="A252" s="6"/>
      <c r="B252" s="6"/>
      <c r="C252" s="6"/>
      <c r="D252" s="6"/>
      <c r="E252" s="6"/>
      <c r="F252" s="6"/>
      <c r="G252" s="6"/>
      <c r="H252" s="6"/>
      <c r="I252" s="6"/>
      <c r="J252" s="6"/>
      <c r="K252" s="6"/>
      <c r="L252" s="6"/>
      <c r="M252" s="6"/>
      <c r="N252" s="6"/>
      <c r="O252" s="6"/>
      <c r="P252" s="6"/>
      <c r="Q252" s="6"/>
      <c r="R252" s="6"/>
      <c r="S252" s="6"/>
      <c r="T252" s="6"/>
      <c r="U252" s="6"/>
      <c r="V252" s="6"/>
      <c r="W252" s="6"/>
      <c r="AB252" s="27">
        <f t="shared" ref="AB252" si="415">AC252-1</f>
        <v>33</v>
      </c>
      <c r="AC252" s="27">
        <f t="shared" ref="AC252" si="416">AD252-1</f>
        <v>34</v>
      </c>
      <c r="AD252" s="27">
        <f t="shared" ref="AD252" si="417">AE252-1</f>
        <v>35</v>
      </c>
      <c r="AE252" s="27">
        <f t="shared" ref="AE252" si="418">AF252-1</f>
        <v>36</v>
      </c>
      <c r="AF252" s="27">
        <f t="shared" ref="AF252" si="419">AG252-1</f>
        <v>37</v>
      </c>
      <c r="AG252" s="27">
        <f t="shared" ref="AG252" si="420">AH252-1</f>
        <v>38</v>
      </c>
      <c r="AH252" s="27">
        <f t="shared" ref="AH252" si="421">AI252-1</f>
        <v>39</v>
      </c>
      <c r="AI252" s="27">
        <f t="shared" ref="AI252" si="422">AJ252-1</f>
        <v>40</v>
      </c>
      <c r="AJ252" s="27">
        <f t="shared" ref="AJ252" si="423">AK252-1</f>
        <v>41</v>
      </c>
      <c r="AK252" s="27">
        <f t="shared" ref="AK252" si="424">AL252-1</f>
        <v>42</v>
      </c>
      <c r="AL252" s="27">
        <f t="shared" ref="AL252" si="425">AM252-1</f>
        <v>43</v>
      </c>
      <c r="AM252" s="27">
        <f t="shared" ref="AM252" si="426">AN252-1</f>
        <v>44</v>
      </c>
      <c r="AN252" s="27">
        <f t="shared" ref="AN252" si="427">AO252-1</f>
        <v>45</v>
      </c>
      <c r="AO252" s="27">
        <f t="shared" ref="AO252" si="428">AP252-1</f>
        <v>46</v>
      </c>
      <c r="AP252" s="27">
        <f t="shared" ref="AP252" si="429">AQ252-1</f>
        <v>47</v>
      </c>
      <c r="AQ252" s="27">
        <f t="shared" ref="AQ252" si="430">AR252-1</f>
        <v>48</v>
      </c>
      <c r="AR252" s="27">
        <f t="shared" ref="AR252" si="431">AS252-1</f>
        <v>49</v>
      </c>
      <c r="AS252" s="27">
        <f t="shared" ref="AS252" si="432">AT252-1</f>
        <v>50</v>
      </c>
      <c r="AT252" s="27">
        <f>AU252-1</f>
        <v>51</v>
      </c>
      <c r="AU252" s="27">
        <f>VLOOKUP(AU253,Dates!$A:$D,2,FALSE)</f>
        <v>52</v>
      </c>
    </row>
    <row r="253" spans="1:47" x14ac:dyDescent="0.35">
      <c r="A253" s="6"/>
      <c r="B253" s="6"/>
      <c r="C253" s="6"/>
      <c r="D253" s="6"/>
      <c r="E253" s="6"/>
      <c r="F253" s="6"/>
      <c r="G253" s="6"/>
      <c r="H253" s="6"/>
      <c r="I253" s="6"/>
      <c r="J253" s="6"/>
      <c r="K253" s="6"/>
      <c r="L253" s="6"/>
      <c r="M253" s="6"/>
      <c r="N253" s="6"/>
      <c r="O253" s="6"/>
      <c r="P253" s="6"/>
      <c r="Q253" s="6"/>
      <c r="R253" s="6"/>
      <c r="S253" s="6"/>
      <c r="T253" s="6"/>
      <c r="U253" s="6"/>
      <c r="V253" s="6"/>
      <c r="W253" s="6"/>
      <c r="AB253" s="27" t="str">
        <f>IFERROR(VLOOKUP(AB252,Dates!$B:$D,3,FALSE),"")</f>
        <v>1Q20</v>
      </c>
      <c r="AC253" s="27" t="str">
        <f>IFERROR(VLOOKUP(AC252,Dates!$B:$D,3,FALSE),"")</f>
        <v>2Q20</v>
      </c>
      <c r="AD253" s="27" t="str">
        <f>IFERROR(VLOOKUP(AD252,Dates!$B:$D,3,FALSE),"")</f>
        <v>3Q20</v>
      </c>
      <c r="AE253" s="27" t="str">
        <f>IFERROR(VLOOKUP(AE252,Dates!$B:$D,3,FALSE),"")</f>
        <v>4Q20</v>
      </c>
      <c r="AF253" s="27" t="str">
        <f>IFERROR(VLOOKUP(AF252,Dates!$B:$D,3,FALSE),"")</f>
        <v>1Q21</v>
      </c>
      <c r="AG253" s="27" t="str">
        <f>IFERROR(VLOOKUP(AG252,Dates!$B:$D,3,FALSE),"")</f>
        <v>2Q21</v>
      </c>
      <c r="AH253" s="27" t="str">
        <f>IFERROR(VLOOKUP(AH252,Dates!$B:$D,3,FALSE),"")</f>
        <v>3Q21</v>
      </c>
      <c r="AI253" s="27" t="str">
        <f>IFERROR(VLOOKUP(AI252,Dates!$B:$D,3,FALSE),"")</f>
        <v>4Q21</v>
      </c>
      <c r="AJ253" s="27" t="str">
        <f>IFERROR(VLOOKUP(AJ252,Dates!$B:$D,3,FALSE),"")</f>
        <v>1Q22</v>
      </c>
      <c r="AK253" s="27" t="str">
        <f>IFERROR(VLOOKUP(AK252,Dates!$B:$D,3,FALSE),"")</f>
        <v>2Q22</v>
      </c>
      <c r="AL253" s="27" t="str">
        <f>IFERROR(VLOOKUP(AL252,Dates!$B:$D,3,FALSE),"")</f>
        <v>3Q22</v>
      </c>
      <c r="AM253" s="27" t="str">
        <f>IFERROR(VLOOKUP(AM252,Dates!$B:$D,3,FALSE),"")</f>
        <v>4Q22</v>
      </c>
      <c r="AN253" s="27" t="str">
        <f>IFERROR(VLOOKUP(AN252,Dates!$B:$D,3,FALSE),"")</f>
        <v>1Q23</v>
      </c>
      <c r="AO253" s="27" t="str">
        <f>IFERROR(VLOOKUP(AO252,Dates!$B:$D,3,FALSE),"")</f>
        <v>2Q23</v>
      </c>
      <c r="AP253" s="27" t="str">
        <f>IFERROR(VLOOKUP(AP252,Dates!$B:$D,3,FALSE),"")</f>
        <v>3Q23</v>
      </c>
      <c r="AQ253" s="27" t="str">
        <f>IFERROR(VLOOKUP(AQ252,Dates!$B:$D,3,FALSE),"")</f>
        <v>4Q23</v>
      </c>
      <c r="AR253" s="27" t="str">
        <f>IFERROR(VLOOKUP(AR252,Dates!$B:$D,3,FALSE),"")</f>
        <v>1Q24</v>
      </c>
      <c r="AS253" s="27" t="str">
        <f>IFERROR(VLOOKUP(AS252,Dates!$B:$D,3,FALSE),"")</f>
        <v>2Q24</v>
      </c>
      <c r="AT253" s="27" t="str">
        <f>IFERROR(VLOOKUP(AT252,Dates!$B:$D,3,FALSE),"")</f>
        <v>3Q24</v>
      </c>
      <c r="AU253" s="28" t="str">
        <f>$G$3</f>
        <v>4Q24</v>
      </c>
    </row>
    <row r="254" spans="1:47" x14ac:dyDescent="0.35">
      <c r="A254" s="6"/>
      <c r="B254" s="6"/>
      <c r="C254" s="6"/>
      <c r="D254" s="6"/>
      <c r="E254" s="6"/>
      <c r="F254" s="6"/>
      <c r="G254" s="6"/>
      <c r="H254" s="6"/>
      <c r="I254" s="6"/>
      <c r="J254" s="6"/>
      <c r="K254" s="6"/>
      <c r="L254" s="6"/>
      <c r="M254" s="6"/>
      <c r="N254" s="6"/>
      <c r="O254" s="6"/>
      <c r="P254" s="6"/>
      <c r="Q254" s="6"/>
      <c r="R254" s="6"/>
      <c r="S254" s="6"/>
      <c r="T254" s="6"/>
      <c r="U254" s="6"/>
      <c r="V254" s="6"/>
      <c r="W254" s="6"/>
      <c r="AA254" s="29" t="str">
        <f>'Profit and Loss Highlights'!B65</f>
        <v>Depreciation</v>
      </c>
      <c r="AB254" s="30">
        <f>IFERROR(INDEX('Profit and Loss Highlights'!$A:$AAY,MATCH($AA254,'Profit and Loss Highlights'!$B:$B,0),MATCH(AB253,'Profit and Loss Highlights'!$1:$1,0)),"")</f>
        <v>355</v>
      </c>
      <c r="AC254" s="30">
        <f>IFERROR(INDEX('Profit and Loss Highlights'!$A:$AAY,MATCH($AA254,'Profit and Loss Highlights'!$B:$B,0),MATCH(AC253,'Profit and Loss Highlights'!$1:$1,0)),"")</f>
        <v>357</v>
      </c>
      <c r="AD254" s="30">
        <f>IFERROR(INDEX('Profit and Loss Highlights'!$A:$AAY,MATCH($AA254,'Profit and Loss Highlights'!$B:$B,0),MATCH(AD253,'Profit and Loss Highlights'!$1:$1,0)),"")</f>
        <v>339</v>
      </c>
      <c r="AE254" s="30">
        <f>IFERROR(INDEX('Profit and Loss Highlights'!$A:$AAY,MATCH($AA254,'Profit and Loss Highlights'!$B:$B,0),MATCH(AE253,'Profit and Loss Highlights'!$1:$1,0)),"")</f>
        <v>362</v>
      </c>
      <c r="AF254" s="30">
        <f>IFERROR(INDEX('Profit and Loss Highlights'!$A:$AAY,MATCH($AA254,'Profit and Loss Highlights'!$B:$B,0),MATCH(AF253,'Profit and Loss Highlights'!$1:$1,0)),"")</f>
        <v>386</v>
      </c>
      <c r="AG254" s="30">
        <f>IFERROR(INDEX('Profit and Loss Highlights'!$A:$AAY,MATCH($AA254,'Profit and Loss Highlights'!$B:$B,0),MATCH(AG253,'Profit and Loss Highlights'!$1:$1,0)),"")</f>
        <v>393</v>
      </c>
      <c r="AH254" s="30">
        <f>IFERROR(INDEX('Profit and Loss Highlights'!$A:$AAY,MATCH($AA254,'Profit and Loss Highlights'!$B:$B,0),MATCH(AH253,'Profit and Loss Highlights'!$1:$1,0)),"")</f>
        <v>369</v>
      </c>
      <c r="AI254" s="30">
        <f>IFERROR(INDEX('Profit and Loss Highlights'!$A:$AAY,MATCH($AA254,'Profit and Loss Highlights'!$B:$B,0),MATCH(AI253,'Profit and Loss Highlights'!$1:$1,0)),"")</f>
        <v>372</v>
      </c>
      <c r="AJ254" s="30">
        <f>IFERROR(INDEX('Profit and Loss Highlights'!$A:$AAY,MATCH($AA254,'Profit and Loss Highlights'!$B:$B,0),MATCH(AJ253,'Profit and Loss Highlights'!$1:$1,0)),"")</f>
        <v>350</v>
      </c>
      <c r="AK254" s="30">
        <f>IFERROR(INDEX('Profit and Loss Highlights'!$A:$AAY,MATCH($AA254,'Profit and Loss Highlights'!$B:$B,0),MATCH(AK253,'Profit and Loss Highlights'!$1:$1,0)),"")</f>
        <v>343</v>
      </c>
      <c r="AL254" s="30">
        <f>IFERROR(INDEX('Profit and Loss Highlights'!$A:$AAY,MATCH($AA254,'Profit and Loss Highlights'!$B:$B,0),MATCH(AL253,'Profit and Loss Highlights'!$1:$1,0)),"")</f>
        <v>343</v>
      </c>
      <c r="AM254" s="30">
        <f>IFERROR(INDEX('Profit and Loss Highlights'!$A:$AAY,MATCH($AA254,'Profit and Loss Highlights'!$B:$B,0),MATCH(AM253,'Profit and Loss Highlights'!$1:$1,0)),"")</f>
        <v>372</v>
      </c>
      <c r="AN254" s="30">
        <f>IFERROR(INDEX('Profit and Loss Highlights'!$A:$AAY,MATCH($AA254,'Profit and Loss Highlights'!$B:$B,0),MATCH(AN253,'Profit and Loss Highlights'!$1:$1,0)),"")</f>
        <v>349</v>
      </c>
      <c r="AO254" s="30">
        <f>IFERROR(INDEX('Profit and Loss Highlights'!$A:$AAY,MATCH($AA254,'Profit and Loss Highlights'!$B:$B,0),MATCH(AO253,'Profit and Loss Highlights'!$1:$1,0)),"")</f>
        <v>346</v>
      </c>
      <c r="AP254" s="30">
        <f>IFERROR(INDEX('Profit and Loss Highlights'!$A:$AAY,MATCH($AA254,'Profit and Loss Highlights'!$B:$B,0),MATCH(AP253,'Profit and Loss Highlights'!$1:$1,0)),"")</f>
        <v>350</v>
      </c>
      <c r="AQ254" s="30">
        <f>IFERROR(INDEX('Profit and Loss Highlights'!$A:$AAY,MATCH($AA254,'Profit and Loss Highlights'!$B:$B,0),MATCH(AQ253,'Profit and Loss Highlights'!$1:$1,0)),"")</f>
        <v>480</v>
      </c>
      <c r="AR254" s="30">
        <f>IFERROR(INDEX('Profit and Loss Highlights'!$A:$AAY,MATCH($AA254,'Profit and Loss Highlights'!$B:$B,0),MATCH(AR253,'Profit and Loss Highlights'!$1:$1,0)),"")</f>
        <v>367</v>
      </c>
      <c r="AS254" s="30">
        <f>IFERROR(INDEX('Profit and Loss Highlights'!$A:$AAY,MATCH($AA254,'Profit and Loss Highlights'!$B:$B,0),MATCH(AS253,'Profit and Loss Highlights'!$1:$1,0)),"")</f>
        <v>364</v>
      </c>
      <c r="AT254" s="30">
        <f>IFERROR(INDEX('Profit and Loss Highlights'!$A:$AAY,MATCH($AA254,'Profit and Loss Highlights'!$B:$B,0),MATCH(AT253,'Profit and Loss Highlights'!$1:$1,0)),"")</f>
        <v>362</v>
      </c>
      <c r="AU254" s="30">
        <f>IFERROR(INDEX('Profit and Loss Highlights'!$A:$AAY,MATCH($AA254,'Profit and Loss Highlights'!$B:$B,0),MATCH(AU253,'Profit and Loss Highlights'!$1:$1,0)),"")</f>
        <v>370</v>
      </c>
    </row>
    <row r="255" spans="1:47" x14ac:dyDescent="0.35">
      <c r="A255" s="6"/>
      <c r="B255" s="6"/>
      <c r="C255" s="6"/>
      <c r="D255" s="6"/>
      <c r="E255" s="6"/>
      <c r="F255" s="6"/>
      <c r="G255" s="6"/>
      <c r="H255" s="6"/>
      <c r="I255" s="6"/>
      <c r="J255" s="6"/>
      <c r="K255" s="6"/>
      <c r="L255" s="6"/>
      <c r="M255" s="6"/>
      <c r="N255" s="6"/>
      <c r="O255" s="6"/>
      <c r="P255" s="6"/>
      <c r="Q255" s="6"/>
      <c r="R255" s="6"/>
      <c r="S255" s="6"/>
      <c r="T255" s="6"/>
      <c r="U255" s="6"/>
      <c r="V255" s="6"/>
      <c r="W255" s="6"/>
    </row>
    <row r="256" spans="1:47" x14ac:dyDescent="0.35">
      <c r="A256" s="6"/>
      <c r="B256" s="6"/>
      <c r="C256" s="6"/>
      <c r="D256" s="6"/>
      <c r="E256" s="6"/>
      <c r="F256" s="6"/>
      <c r="G256" s="6"/>
      <c r="H256" s="6"/>
      <c r="I256" s="6"/>
      <c r="J256" s="6"/>
      <c r="K256" s="6"/>
      <c r="L256" s="6"/>
      <c r="M256" s="6"/>
      <c r="N256" s="6"/>
      <c r="O256" s="6"/>
      <c r="P256" s="6"/>
      <c r="Q256" s="6"/>
      <c r="R256" s="6"/>
      <c r="S256" s="6"/>
      <c r="T256" s="6"/>
      <c r="U256" s="6"/>
      <c r="V256" s="6"/>
      <c r="W256" s="6"/>
    </row>
    <row r="257" spans="1:47" x14ac:dyDescent="0.35">
      <c r="A257" s="6"/>
      <c r="B257" s="6"/>
      <c r="C257" s="6"/>
      <c r="D257" s="6"/>
      <c r="E257" s="6"/>
      <c r="F257" s="6"/>
      <c r="G257" s="6"/>
      <c r="H257" s="6"/>
      <c r="I257" s="6"/>
      <c r="J257" s="6"/>
      <c r="K257" s="6"/>
      <c r="L257" s="6"/>
      <c r="M257" s="6"/>
      <c r="N257" s="6"/>
      <c r="O257" s="6"/>
      <c r="P257" s="6"/>
      <c r="Q257" s="6"/>
      <c r="R257" s="6"/>
      <c r="S257" s="6"/>
      <c r="T257" s="6"/>
      <c r="U257" s="6"/>
      <c r="V257" s="6"/>
      <c r="W257" s="6"/>
    </row>
    <row r="258" spans="1:47" x14ac:dyDescent="0.35">
      <c r="A258" s="6"/>
      <c r="B258" s="6"/>
      <c r="C258" s="6"/>
      <c r="D258" s="6"/>
      <c r="E258" s="6"/>
      <c r="F258" s="6"/>
      <c r="G258" s="6"/>
      <c r="H258" s="6"/>
      <c r="I258" s="6"/>
      <c r="J258" s="6"/>
      <c r="K258" s="6"/>
      <c r="L258" s="6"/>
      <c r="M258" s="6"/>
      <c r="N258" s="6"/>
      <c r="O258" s="6"/>
      <c r="P258" s="6"/>
      <c r="Q258" s="6"/>
      <c r="R258" s="6"/>
      <c r="S258" s="6"/>
      <c r="T258" s="6"/>
      <c r="U258" s="6"/>
      <c r="V258" s="6"/>
      <c r="W258" s="6"/>
      <c r="AB258" s="27">
        <f t="shared" ref="AB258" si="433">AC258-1</f>
        <v>33</v>
      </c>
      <c r="AC258" s="27">
        <f t="shared" ref="AC258" si="434">AD258-1</f>
        <v>34</v>
      </c>
      <c r="AD258" s="27">
        <f t="shared" ref="AD258" si="435">AE258-1</f>
        <v>35</v>
      </c>
      <c r="AE258" s="27">
        <f t="shared" ref="AE258" si="436">AF258-1</f>
        <v>36</v>
      </c>
      <c r="AF258" s="27">
        <f t="shared" ref="AF258" si="437">AG258-1</f>
        <v>37</v>
      </c>
      <c r="AG258" s="27">
        <f t="shared" ref="AG258" si="438">AH258-1</f>
        <v>38</v>
      </c>
      <c r="AH258" s="27">
        <f t="shared" ref="AH258" si="439">AI258-1</f>
        <v>39</v>
      </c>
      <c r="AI258" s="27">
        <f t="shared" ref="AI258" si="440">AJ258-1</f>
        <v>40</v>
      </c>
      <c r="AJ258" s="27">
        <f t="shared" ref="AJ258" si="441">AK258-1</f>
        <v>41</v>
      </c>
      <c r="AK258" s="27">
        <f t="shared" ref="AK258" si="442">AL258-1</f>
        <v>42</v>
      </c>
      <c r="AL258" s="27">
        <f t="shared" ref="AL258" si="443">AM258-1</f>
        <v>43</v>
      </c>
      <c r="AM258" s="27">
        <f t="shared" ref="AM258" si="444">AN258-1</f>
        <v>44</v>
      </c>
      <c r="AN258" s="27">
        <f t="shared" ref="AN258" si="445">AO258-1</f>
        <v>45</v>
      </c>
      <c r="AO258" s="27">
        <f t="shared" ref="AO258" si="446">AP258-1</f>
        <v>46</v>
      </c>
      <c r="AP258" s="27">
        <f t="shared" ref="AP258" si="447">AQ258-1</f>
        <v>47</v>
      </c>
      <c r="AQ258" s="27">
        <f t="shared" ref="AQ258" si="448">AR258-1</f>
        <v>48</v>
      </c>
      <c r="AR258" s="27">
        <f t="shared" ref="AR258" si="449">AS258-1</f>
        <v>49</v>
      </c>
      <c r="AS258" s="27">
        <f t="shared" ref="AS258" si="450">AT258-1</f>
        <v>50</v>
      </c>
      <c r="AT258" s="27">
        <f>AU258-1</f>
        <v>51</v>
      </c>
      <c r="AU258" s="27">
        <f>VLOOKUP(AU259,Dates!$A:$D,2,FALSE)</f>
        <v>52</v>
      </c>
    </row>
    <row r="259" spans="1:47" x14ac:dyDescent="0.35">
      <c r="A259" s="6"/>
      <c r="B259" s="6"/>
      <c r="C259" s="6"/>
      <c r="D259" s="6"/>
      <c r="E259" s="6"/>
      <c r="F259" s="6"/>
      <c r="G259" s="6"/>
      <c r="H259" s="6"/>
      <c r="I259" s="6"/>
      <c r="J259" s="6"/>
      <c r="K259" s="6"/>
      <c r="L259" s="6"/>
      <c r="M259" s="6"/>
      <c r="N259" s="6"/>
      <c r="O259" s="6"/>
      <c r="P259" s="6"/>
      <c r="Q259" s="6"/>
      <c r="R259" s="6"/>
      <c r="S259" s="6"/>
      <c r="T259" s="6"/>
      <c r="U259" s="6"/>
      <c r="V259" s="6"/>
      <c r="W259" s="6"/>
      <c r="AB259" s="27" t="str">
        <f>IFERROR(VLOOKUP(AB258,Dates!$B:$D,3,FALSE),"")</f>
        <v>1Q20</v>
      </c>
      <c r="AC259" s="27" t="str">
        <f>IFERROR(VLOOKUP(AC258,Dates!$B:$D,3,FALSE),"")</f>
        <v>2Q20</v>
      </c>
      <c r="AD259" s="27" t="str">
        <f>IFERROR(VLOOKUP(AD258,Dates!$B:$D,3,FALSE),"")</f>
        <v>3Q20</v>
      </c>
      <c r="AE259" s="27" t="str">
        <f>IFERROR(VLOOKUP(AE258,Dates!$B:$D,3,FALSE),"")</f>
        <v>4Q20</v>
      </c>
      <c r="AF259" s="27" t="str">
        <f>IFERROR(VLOOKUP(AF258,Dates!$B:$D,3,FALSE),"")</f>
        <v>1Q21</v>
      </c>
      <c r="AG259" s="27" t="str">
        <f>IFERROR(VLOOKUP(AG258,Dates!$B:$D,3,FALSE),"")</f>
        <v>2Q21</v>
      </c>
      <c r="AH259" s="27" t="str">
        <f>IFERROR(VLOOKUP(AH258,Dates!$B:$D,3,FALSE),"")</f>
        <v>3Q21</v>
      </c>
      <c r="AI259" s="27" t="str">
        <f>IFERROR(VLOOKUP(AI258,Dates!$B:$D,3,FALSE),"")</f>
        <v>4Q21</v>
      </c>
      <c r="AJ259" s="27" t="str">
        <f>IFERROR(VLOOKUP(AJ258,Dates!$B:$D,3,FALSE),"")</f>
        <v>1Q22</v>
      </c>
      <c r="AK259" s="27" t="str">
        <f>IFERROR(VLOOKUP(AK258,Dates!$B:$D,3,FALSE),"")</f>
        <v>2Q22</v>
      </c>
      <c r="AL259" s="27" t="str">
        <f>IFERROR(VLOOKUP(AL258,Dates!$B:$D,3,FALSE),"")</f>
        <v>3Q22</v>
      </c>
      <c r="AM259" s="27" t="str">
        <f>IFERROR(VLOOKUP(AM258,Dates!$B:$D,3,FALSE),"")</f>
        <v>4Q22</v>
      </c>
      <c r="AN259" s="27" t="str">
        <f>IFERROR(VLOOKUP(AN258,Dates!$B:$D,3,FALSE),"")</f>
        <v>1Q23</v>
      </c>
      <c r="AO259" s="27" t="str">
        <f>IFERROR(VLOOKUP(AO258,Dates!$B:$D,3,FALSE),"")</f>
        <v>2Q23</v>
      </c>
      <c r="AP259" s="27" t="str">
        <f>IFERROR(VLOOKUP(AP258,Dates!$B:$D,3,FALSE),"")</f>
        <v>3Q23</v>
      </c>
      <c r="AQ259" s="27" t="str">
        <f>IFERROR(VLOOKUP(AQ258,Dates!$B:$D,3,FALSE),"")</f>
        <v>4Q23</v>
      </c>
      <c r="AR259" s="27" t="str">
        <f>IFERROR(VLOOKUP(AR258,Dates!$B:$D,3,FALSE),"")</f>
        <v>1Q24</v>
      </c>
      <c r="AS259" s="27" t="str">
        <f>IFERROR(VLOOKUP(AS258,Dates!$B:$D,3,FALSE),"")</f>
        <v>2Q24</v>
      </c>
      <c r="AT259" s="27" t="str">
        <f>IFERROR(VLOOKUP(AT258,Dates!$B:$D,3,FALSE),"")</f>
        <v>3Q24</v>
      </c>
      <c r="AU259" s="28" t="str">
        <f>$G$3</f>
        <v>4Q24</v>
      </c>
    </row>
    <row r="260" spans="1:47" x14ac:dyDescent="0.35">
      <c r="A260" s="6"/>
      <c r="B260" s="6"/>
      <c r="C260" s="6"/>
      <c r="D260" s="6"/>
      <c r="E260" s="6"/>
      <c r="F260" s="6"/>
      <c r="G260" s="6"/>
      <c r="H260" s="6"/>
      <c r="I260" s="6"/>
      <c r="J260" s="6"/>
      <c r="K260" s="6"/>
      <c r="L260" s="6"/>
      <c r="M260" s="6"/>
      <c r="N260" s="6"/>
      <c r="O260" s="6"/>
      <c r="P260" s="6"/>
      <c r="Q260" s="6"/>
      <c r="R260" s="6"/>
      <c r="S260" s="6"/>
      <c r="T260" s="6"/>
      <c r="U260" s="6"/>
      <c r="V260" s="6"/>
      <c r="W260" s="6"/>
      <c r="AA260" s="29" t="str">
        <f>'Profit and Loss Highlights'!B76</f>
        <v>PAT</v>
      </c>
      <c r="AB260" s="30">
        <f>IFERROR(INDEX('Profit and Loss Highlights'!$A:$AAY,MATCH($AA260,'Profit and Loss Highlights'!$B:$B,0),MATCH(AB259,'Profit and Loss Highlights'!$1:$1,0)),"")</f>
        <v>359</v>
      </c>
      <c r="AC260" s="30">
        <f>IFERROR(INDEX('Profit and Loss Highlights'!$A:$AAY,MATCH($AA260,'Profit and Loss Highlights'!$B:$B,0),MATCH(AC259,'Profit and Loss Highlights'!$1:$1,0)),"")</f>
        <v>337</v>
      </c>
      <c r="AD260" s="30">
        <f>IFERROR(INDEX('Profit and Loss Highlights'!$A:$AAY,MATCH($AA260,'Profit and Loss Highlights'!$B:$B,0),MATCH(AD259,'Profit and Loss Highlights'!$1:$1,0)),"")</f>
        <v>363</v>
      </c>
      <c r="AE260" s="30">
        <f>IFERROR(INDEX('Profit and Loss Highlights'!$A:$AAY,MATCH($AA260,'Profit and Loss Highlights'!$B:$B,0),MATCH(AE259,'Profit and Loss Highlights'!$1:$1,0)),"")</f>
        <v>319</v>
      </c>
      <c r="AF260" s="30">
        <f>IFERROR(INDEX('Profit and Loss Highlights'!$A:$AAY,MATCH($AA260,'Profit and Loss Highlights'!$B:$B,0),MATCH(AF259,'Profit and Loss Highlights'!$1:$1,0)),"")</f>
        <v>334</v>
      </c>
      <c r="AG260" s="30">
        <f>IFERROR(INDEX('Profit and Loss Highlights'!$A:$AAY,MATCH($AA260,'Profit and Loss Highlights'!$B:$B,0),MATCH(AG259,'Profit and Loss Highlights'!$1:$1,0)),"")</f>
        <v>360</v>
      </c>
      <c r="AH260" s="30">
        <f>IFERROR(INDEX('Profit and Loss Highlights'!$A:$AAY,MATCH($AA260,'Profit and Loss Highlights'!$B:$B,0),MATCH(AH259,'Profit and Loss Highlights'!$1:$1,0)),"")</f>
        <v>325</v>
      </c>
      <c r="AI260" s="30">
        <f>IFERROR(INDEX('Profit and Loss Highlights'!$A:$AAY,MATCH($AA260,'Profit and Loss Highlights'!$B:$B,0),MATCH(AI259,'Profit and Loss Highlights'!$1:$1,0)),"")</f>
        <v>289</v>
      </c>
      <c r="AJ260" s="30">
        <f>IFERROR(INDEX('Profit and Loss Highlights'!$A:$AAY,MATCH($AA260,'Profit and Loss Highlights'!$B:$B,0),MATCH(AJ259,'Profit and Loss Highlights'!$1:$1,0)),"")</f>
        <v>289</v>
      </c>
      <c r="AK260" s="30">
        <f>IFERROR(INDEX('Profit and Loss Highlights'!$A:$AAY,MATCH($AA260,'Profit and Loss Highlights'!$B:$B,0),MATCH(AK259,'Profit and Loss Highlights'!$1:$1,0)),"")</f>
        <v>322</v>
      </c>
      <c r="AL260" s="30">
        <f>IFERROR(INDEX('Profit and Loss Highlights'!$A:$AAY,MATCH($AA260,'Profit and Loss Highlights'!$B:$B,0),MATCH(AL259,'Profit and Loss Highlights'!$1:$1,0)),"")</f>
        <v>308</v>
      </c>
      <c r="AM260" s="30">
        <f>IFERROR(INDEX('Profit and Loss Highlights'!$A:$AAY,MATCH($AA260,'Profit and Loss Highlights'!$B:$B,0),MATCH(AM259,'Profit and Loss Highlights'!$1:$1,0)),"")</f>
        <v>232</v>
      </c>
      <c r="AN260" s="30">
        <f>IFERROR(INDEX('Profit and Loss Highlights'!$A:$AAY,MATCH($AA260,'Profit and Loss Highlights'!$B:$B,0),MATCH(AN259,'Profit and Loss Highlights'!$1:$1,0)),"")</f>
        <v>320</v>
      </c>
      <c r="AO260" s="30">
        <f>IFERROR(INDEX('Profit and Loss Highlights'!$A:$AAY,MATCH($AA260,'Profit and Loss Highlights'!$B:$B,0),MATCH(AO259,'Profit and Loss Highlights'!$1:$1,0)),"")</f>
        <v>329</v>
      </c>
      <c r="AP260" s="30">
        <f>IFERROR(INDEX('Profit and Loss Highlights'!$A:$AAY,MATCH($AA260,'Profit and Loss Highlights'!$B:$B,0),MATCH(AP259,'Profit and Loss Highlights'!$1:$1,0)),"")</f>
        <v>287</v>
      </c>
      <c r="AQ260" s="30">
        <f>IFERROR(INDEX('Profit and Loss Highlights'!$A:$AAY,MATCH($AA260,'Profit and Loss Highlights'!$B:$B,0),MATCH(AQ259,'Profit and Loss Highlights'!$1:$1,0)),"")</f>
        <v>56</v>
      </c>
      <c r="AR260" s="30">
        <f>IFERROR(INDEX('Profit and Loss Highlights'!$A:$AAY,MATCH($AA260,'Profit and Loss Highlights'!$B:$B,0),MATCH(AR259,'Profit and Loss Highlights'!$1:$1,0)),"")</f>
        <v>353</v>
      </c>
      <c r="AS260" s="30">
        <f>IFERROR(INDEX('Profit and Loss Highlights'!$A:$AAY,MATCH($AA260,'Profit and Loss Highlights'!$B:$B,0),MATCH(AS259,'Profit and Loss Highlights'!$1:$1,0)),"")</f>
        <v>356</v>
      </c>
      <c r="AT260" s="30">
        <f>IFERROR(INDEX('Profit and Loss Highlights'!$A:$AAY,MATCH($AA260,'Profit and Loss Highlights'!$B:$B,0),MATCH(AT259,'Profit and Loss Highlights'!$1:$1,0)),"")</f>
        <v>366</v>
      </c>
      <c r="AU260" s="30">
        <f>IFERROR(INDEX('Profit and Loss Highlights'!$A:$AAY,MATCH($AA260,'Profit and Loss Highlights'!$B:$B,0),MATCH(AU259,'Profit and Loss Highlights'!$1:$1,0)),"")</f>
        <v>321</v>
      </c>
    </row>
    <row r="261" spans="1:47" x14ac:dyDescent="0.35">
      <c r="A261" s="6"/>
      <c r="B261" s="6"/>
      <c r="C261" s="6"/>
      <c r="D261" s="6"/>
      <c r="E261" s="6"/>
      <c r="F261" s="6"/>
      <c r="G261" s="6"/>
      <c r="H261" s="6"/>
      <c r="I261" s="6"/>
      <c r="J261" s="6"/>
      <c r="K261" s="6"/>
      <c r="L261" s="6"/>
      <c r="M261" s="6"/>
      <c r="N261" s="6"/>
      <c r="O261" s="6"/>
      <c r="P261" s="6"/>
      <c r="Q261" s="6"/>
      <c r="R261" s="6"/>
      <c r="S261" s="6"/>
      <c r="T261" s="6"/>
      <c r="U261" s="6"/>
      <c r="V261" s="6"/>
      <c r="W261" s="6"/>
    </row>
    <row r="262" spans="1:47" x14ac:dyDescent="0.35">
      <c r="A262" s="6"/>
      <c r="B262" s="6"/>
      <c r="C262" s="6"/>
      <c r="D262" s="6"/>
      <c r="E262" s="6"/>
      <c r="F262" s="6"/>
      <c r="G262" s="6"/>
      <c r="H262" s="6"/>
      <c r="I262" s="6"/>
      <c r="J262" s="6"/>
      <c r="K262" s="6"/>
      <c r="L262" s="6"/>
      <c r="M262" s="6"/>
      <c r="N262" s="6"/>
      <c r="O262" s="6"/>
      <c r="P262" s="6"/>
      <c r="Q262" s="6"/>
      <c r="R262" s="6"/>
      <c r="S262" s="6"/>
      <c r="T262" s="6"/>
      <c r="U262" s="6"/>
      <c r="V262" s="6"/>
      <c r="W262" s="6"/>
    </row>
    <row r="263" spans="1:47" x14ac:dyDescent="0.35">
      <c r="A263" s="6"/>
      <c r="B263" s="6"/>
      <c r="C263" s="6"/>
      <c r="D263" s="6"/>
      <c r="E263" s="6"/>
      <c r="F263" s="6"/>
      <c r="G263" s="6"/>
      <c r="H263" s="6"/>
      <c r="I263" s="6"/>
      <c r="J263" s="6"/>
      <c r="K263" s="6"/>
      <c r="L263" s="6"/>
      <c r="M263" s="6"/>
      <c r="N263" s="6"/>
      <c r="O263" s="6"/>
      <c r="P263" s="6"/>
      <c r="Q263" s="6"/>
      <c r="R263" s="6"/>
      <c r="S263" s="6"/>
      <c r="T263" s="6"/>
      <c r="U263" s="6"/>
      <c r="V263" s="6"/>
      <c r="W263" s="6"/>
    </row>
    <row r="264" spans="1:47" x14ac:dyDescent="0.35">
      <c r="A264" s="6"/>
      <c r="B264" s="6"/>
      <c r="C264" s="6"/>
      <c r="D264" s="6"/>
      <c r="E264" s="6"/>
      <c r="F264" s="6"/>
      <c r="G264" s="6"/>
      <c r="H264" s="6"/>
      <c r="I264" s="6"/>
      <c r="J264" s="6"/>
      <c r="K264" s="6"/>
      <c r="L264" s="6"/>
      <c r="M264" s="6"/>
      <c r="N264" s="6"/>
      <c r="O264" s="6"/>
      <c r="P264" s="6"/>
      <c r="Q264" s="6"/>
      <c r="R264" s="6"/>
      <c r="S264" s="6"/>
      <c r="T264" s="6"/>
      <c r="U264" s="6"/>
      <c r="V264" s="6"/>
      <c r="W264" s="6"/>
    </row>
    <row r="265" spans="1:47" x14ac:dyDescent="0.35">
      <c r="A265" s="1" t="s">
        <v>29</v>
      </c>
      <c r="B265" s="1" t="s">
        <v>73</v>
      </c>
      <c r="C265" s="1"/>
      <c r="D265" s="1"/>
      <c r="E265" s="1"/>
      <c r="F265" s="1"/>
      <c r="G265" s="1"/>
      <c r="H265" s="1"/>
      <c r="I265" s="1"/>
      <c r="J265" s="1"/>
      <c r="K265" s="1" t="s">
        <v>30</v>
      </c>
      <c r="L265" s="1" t="s">
        <v>78</v>
      </c>
      <c r="M265" s="1"/>
      <c r="N265" s="1"/>
      <c r="O265" s="1"/>
      <c r="P265" s="1"/>
      <c r="Q265" s="1"/>
      <c r="R265" s="1"/>
      <c r="S265" s="1"/>
      <c r="T265" s="1"/>
      <c r="U265" s="6"/>
      <c r="V265" s="6"/>
      <c r="W265" s="6"/>
    </row>
    <row r="266" spans="1:47" x14ac:dyDescent="0.35">
      <c r="A266" s="6"/>
      <c r="B266" s="6"/>
      <c r="C266" s="6"/>
      <c r="D266" s="6"/>
      <c r="E266" s="6"/>
      <c r="F266" s="6"/>
      <c r="G266" s="6"/>
      <c r="H266" s="6"/>
      <c r="I266" s="6"/>
      <c r="J266" s="6"/>
      <c r="K266" s="6"/>
      <c r="L266" s="6"/>
      <c r="M266" s="6"/>
      <c r="N266" s="6"/>
      <c r="O266" s="6"/>
      <c r="P266" s="6"/>
      <c r="Q266" s="6"/>
      <c r="R266" s="6"/>
      <c r="S266" s="6"/>
      <c r="T266" s="6"/>
      <c r="U266" s="6"/>
      <c r="V266" s="6"/>
      <c r="W266" s="6"/>
    </row>
    <row r="267" spans="1:47" x14ac:dyDescent="0.35">
      <c r="A267" s="6"/>
      <c r="B267" s="6"/>
      <c r="C267" s="6"/>
      <c r="D267" s="6"/>
      <c r="E267" s="6"/>
      <c r="F267" s="6"/>
      <c r="G267" s="6"/>
      <c r="H267" s="6"/>
      <c r="I267" s="6"/>
      <c r="J267" s="6"/>
      <c r="K267" s="6"/>
      <c r="L267" s="6"/>
      <c r="M267" s="6"/>
      <c r="N267" s="6"/>
      <c r="O267" s="6"/>
      <c r="P267" s="6"/>
      <c r="Q267" s="6"/>
      <c r="R267" s="6"/>
      <c r="S267" s="6"/>
      <c r="T267" s="6"/>
      <c r="U267" s="6"/>
      <c r="V267" s="6"/>
      <c r="W267" s="6"/>
    </row>
    <row r="268" spans="1:47" x14ac:dyDescent="0.35">
      <c r="A268" s="6"/>
      <c r="B268" s="6"/>
      <c r="C268" s="6"/>
      <c r="D268" s="6"/>
      <c r="E268" s="6"/>
      <c r="F268" s="6"/>
      <c r="G268" s="6"/>
      <c r="H268" s="6"/>
      <c r="I268" s="6"/>
      <c r="J268" s="6"/>
      <c r="K268" s="6"/>
      <c r="L268" s="6"/>
      <c r="M268" s="6"/>
      <c r="N268" s="6"/>
      <c r="O268" s="6"/>
      <c r="P268" s="6"/>
      <c r="Q268" s="6"/>
      <c r="R268" s="6"/>
      <c r="S268" s="6"/>
      <c r="T268" s="6"/>
      <c r="U268" s="6"/>
      <c r="V268" s="6"/>
      <c r="W268" s="6"/>
    </row>
    <row r="269" spans="1:47" x14ac:dyDescent="0.35">
      <c r="A269" s="6"/>
      <c r="B269" s="6"/>
      <c r="C269" s="6"/>
      <c r="D269" s="6"/>
      <c r="E269" s="6"/>
      <c r="F269" s="6"/>
      <c r="G269" s="6"/>
      <c r="H269" s="6"/>
      <c r="I269" s="6"/>
      <c r="J269" s="6"/>
      <c r="K269" s="6"/>
      <c r="L269" s="6"/>
      <c r="M269" s="6"/>
      <c r="N269" s="6"/>
      <c r="O269" s="6"/>
      <c r="P269" s="6"/>
      <c r="Q269" s="6"/>
      <c r="R269" s="6"/>
      <c r="S269" s="6"/>
      <c r="T269" s="6"/>
      <c r="U269" s="6"/>
      <c r="V269" s="6"/>
      <c r="W269" s="6"/>
      <c r="AB269" s="27">
        <f t="shared" ref="AB269" si="451">AC269-1</f>
        <v>33</v>
      </c>
      <c r="AC269" s="27">
        <f t="shared" ref="AC269" si="452">AD269-1</f>
        <v>34</v>
      </c>
      <c r="AD269" s="27">
        <f t="shared" ref="AD269" si="453">AE269-1</f>
        <v>35</v>
      </c>
      <c r="AE269" s="27">
        <f t="shared" ref="AE269" si="454">AF269-1</f>
        <v>36</v>
      </c>
      <c r="AF269" s="27">
        <f t="shared" ref="AF269" si="455">AG269-1</f>
        <v>37</v>
      </c>
      <c r="AG269" s="27">
        <f t="shared" ref="AG269" si="456">AH269-1</f>
        <v>38</v>
      </c>
      <c r="AH269" s="27">
        <f t="shared" ref="AH269" si="457">AI269-1</f>
        <v>39</v>
      </c>
      <c r="AI269" s="27">
        <f t="shared" ref="AI269" si="458">AJ269-1</f>
        <v>40</v>
      </c>
      <c r="AJ269" s="27">
        <f t="shared" ref="AJ269" si="459">AK269-1</f>
        <v>41</v>
      </c>
      <c r="AK269" s="27">
        <f t="shared" ref="AK269" si="460">AL269-1</f>
        <v>42</v>
      </c>
      <c r="AL269" s="27">
        <f t="shared" ref="AL269" si="461">AM269-1</f>
        <v>43</v>
      </c>
      <c r="AM269" s="27">
        <f t="shared" ref="AM269" si="462">AN269-1</f>
        <v>44</v>
      </c>
      <c r="AN269" s="27">
        <f t="shared" ref="AN269" si="463">AO269-1</f>
        <v>45</v>
      </c>
      <c r="AO269" s="27">
        <f t="shared" ref="AO269" si="464">AP269-1</f>
        <v>46</v>
      </c>
      <c r="AP269" s="27">
        <f t="shared" ref="AP269" si="465">AQ269-1</f>
        <v>47</v>
      </c>
      <c r="AQ269" s="27">
        <f t="shared" ref="AQ269" si="466">AR269-1</f>
        <v>48</v>
      </c>
      <c r="AR269" s="27">
        <f t="shared" ref="AR269" si="467">AS269-1</f>
        <v>49</v>
      </c>
      <c r="AS269" s="27">
        <f t="shared" ref="AS269" si="468">AT269-1</f>
        <v>50</v>
      </c>
      <c r="AT269" s="27">
        <f>AU269-1</f>
        <v>51</v>
      </c>
      <c r="AU269" s="27">
        <f>VLOOKUP(AU270,Dates!$A:$D,2,FALSE)</f>
        <v>52</v>
      </c>
    </row>
    <row r="270" spans="1:47" x14ac:dyDescent="0.35">
      <c r="A270" s="6"/>
      <c r="B270" s="6"/>
      <c r="C270" s="6"/>
      <c r="D270" s="6"/>
      <c r="E270" s="6"/>
      <c r="F270" s="6"/>
      <c r="G270" s="6"/>
      <c r="H270" s="6"/>
      <c r="I270" s="6"/>
      <c r="J270" s="6"/>
      <c r="K270" s="6"/>
      <c r="L270" s="6"/>
      <c r="M270" s="6"/>
      <c r="N270" s="6"/>
      <c r="O270" s="6"/>
      <c r="P270" s="6"/>
      <c r="Q270" s="6"/>
      <c r="R270" s="6"/>
      <c r="S270" s="6"/>
      <c r="T270" s="6"/>
      <c r="U270" s="6"/>
      <c r="V270" s="6"/>
      <c r="W270" s="6"/>
      <c r="AB270" s="27" t="str">
        <f>IFERROR(VLOOKUP(AB269,Dates!$B:$D,3,FALSE),"")</f>
        <v>1Q20</v>
      </c>
      <c r="AC270" s="27" t="str">
        <f>IFERROR(VLOOKUP(AC269,Dates!$B:$D,3,FALSE),"")</f>
        <v>2Q20</v>
      </c>
      <c r="AD270" s="27" t="str">
        <f>IFERROR(VLOOKUP(AD269,Dates!$B:$D,3,FALSE),"")</f>
        <v>3Q20</v>
      </c>
      <c r="AE270" s="27" t="str">
        <f>IFERROR(VLOOKUP(AE269,Dates!$B:$D,3,FALSE),"")</f>
        <v>4Q20</v>
      </c>
      <c r="AF270" s="27" t="str">
        <f>IFERROR(VLOOKUP(AF269,Dates!$B:$D,3,FALSE),"")</f>
        <v>1Q21</v>
      </c>
      <c r="AG270" s="27" t="str">
        <f>IFERROR(VLOOKUP(AG269,Dates!$B:$D,3,FALSE),"")</f>
        <v>2Q21</v>
      </c>
      <c r="AH270" s="27" t="str">
        <f>IFERROR(VLOOKUP(AH269,Dates!$B:$D,3,FALSE),"")</f>
        <v>3Q21</v>
      </c>
      <c r="AI270" s="27" t="str">
        <f>IFERROR(VLOOKUP(AI269,Dates!$B:$D,3,FALSE),"")</f>
        <v>4Q21</v>
      </c>
      <c r="AJ270" s="27" t="str">
        <f>IFERROR(VLOOKUP(AJ269,Dates!$B:$D,3,FALSE),"")</f>
        <v>1Q22</v>
      </c>
      <c r="AK270" s="27" t="str">
        <f>IFERROR(VLOOKUP(AK269,Dates!$B:$D,3,FALSE),"")</f>
        <v>2Q22</v>
      </c>
      <c r="AL270" s="27" t="str">
        <f>IFERROR(VLOOKUP(AL269,Dates!$B:$D,3,FALSE),"")</f>
        <v>3Q22</v>
      </c>
      <c r="AM270" s="27" t="str">
        <f>IFERROR(VLOOKUP(AM269,Dates!$B:$D,3,FALSE),"")</f>
        <v>4Q22</v>
      </c>
      <c r="AN270" s="27" t="str">
        <f>IFERROR(VLOOKUP(AN269,Dates!$B:$D,3,FALSE),"")</f>
        <v>1Q23</v>
      </c>
      <c r="AO270" s="27" t="str">
        <f>IFERROR(VLOOKUP(AO269,Dates!$B:$D,3,FALSE),"")</f>
        <v>2Q23</v>
      </c>
      <c r="AP270" s="27" t="str">
        <f>IFERROR(VLOOKUP(AP269,Dates!$B:$D,3,FALSE),"")</f>
        <v>3Q23</v>
      </c>
      <c r="AQ270" s="27" t="str">
        <f>IFERROR(VLOOKUP(AQ269,Dates!$B:$D,3,FALSE),"")</f>
        <v>4Q23</v>
      </c>
      <c r="AR270" s="27" t="str">
        <f>IFERROR(VLOOKUP(AR269,Dates!$B:$D,3,FALSE),"")</f>
        <v>1Q24</v>
      </c>
      <c r="AS270" s="27" t="str">
        <f>IFERROR(VLOOKUP(AS269,Dates!$B:$D,3,FALSE),"")</f>
        <v>2Q24</v>
      </c>
      <c r="AT270" s="27" t="str">
        <f>IFERROR(VLOOKUP(AT269,Dates!$B:$D,3,FALSE),"")</f>
        <v>3Q24</v>
      </c>
      <c r="AU270" s="28" t="str">
        <f>$G$3</f>
        <v>4Q24</v>
      </c>
    </row>
    <row r="271" spans="1:47" x14ac:dyDescent="0.35">
      <c r="A271" s="6"/>
      <c r="B271" s="6"/>
      <c r="C271" s="6"/>
      <c r="D271" s="6"/>
      <c r="E271" s="6"/>
      <c r="F271" s="6"/>
      <c r="G271" s="6"/>
      <c r="H271" s="6"/>
      <c r="I271" s="6"/>
      <c r="J271" s="6"/>
      <c r="K271" s="6"/>
      <c r="L271" s="6"/>
      <c r="M271" s="6"/>
      <c r="N271" s="6"/>
      <c r="O271" s="6"/>
      <c r="P271" s="6"/>
      <c r="Q271" s="6"/>
      <c r="R271" s="6"/>
      <c r="S271" s="6"/>
      <c r="T271" s="6"/>
      <c r="U271" s="6"/>
      <c r="V271" s="6"/>
      <c r="W271" s="6"/>
      <c r="AA271" s="29" t="str">
        <f>'Profit and Loss Highlights'!B156</f>
        <v>Net income growth (% YoY)</v>
      </c>
      <c r="AB271" s="31">
        <f>IFERROR(INDEX('Profit and Loss Highlights'!$A:$AAY,MATCH($AA271,'Profit and Loss Highlights'!$B:$B,0),MATCH(AB270,'Profit and Loss Highlights'!$1:$1,0)),"")</f>
        <v>-0.1089108910891089</v>
      </c>
      <c r="AC271" s="31">
        <f>IFERROR(INDEX('Profit and Loss Highlights'!$A:$AAY,MATCH($AA271,'Profit and Loss Highlights'!$B:$B,0),MATCH(AC270,'Profit and Loss Highlights'!$1:$1,0)),"")</f>
        <v>-0.13554987212276215</v>
      </c>
      <c r="AD271" s="31">
        <f>IFERROR(INDEX('Profit and Loss Highlights'!$A:$AAY,MATCH($AA271,'Profit and Loss Highlights'!$B:$B,0),MATCH(AD270,'Profit and Loss Highlights'!$1:$1,0)),"")</f>
        <v>8.310249307479145E-3</v>
      </c>
      <c r="AE271" s="31">
        <f>IFERROR(INDEX('Profit and Loss Highlights'!$A:$AAY,MATCH($AA271,'Profit and Loss Highlights'!$B:$B,0),MATCH(AE270,'Profit and Loss Highlights'!$1:$1,0)),"")</f>
        <v>-6.7251461988304118E-2</v>
      </c>
      <c r="AF271" s="31">
        <f>IFERROR(INDEX('Profit and Loss Highlights'!$A:$AAY,MATCH($AA271,'Profit and Loss Highlights'!$B:$B,0),MATCH(AF270,'Profit and Loss Highlights'!$1:$1,0)),"")</f>
        <v>-6.9637883008356494E-2</v>
      </c>
      <c r="AG271" s="31">
        <f>IFERROR(INDEX('Profit and Loss Highlights'!$A:$AAY,MATCH($AA271,'Profit and Loss Highlights'!$B:$B,0),MATCH(AG270,'Profit and Loss Highlights'!$1:$1,0)),"")</f>
        <v>6.8249258160237414E-2</v>
      </c>
      <c r="AH271" s="31">
        <f>IFERROR(INDEX('Profit and Loss Highlights'!$A:$AAY,MATCH($AA271,'Profit and Loss Highlights'!$B:$B,0),MATCH(AH270,'Profit and Loss Highlights'!$1:$1,0)),"")</f>
        <v>-0.10468319559228645</v>
      </c>
      <c r="AI271" s="31">
        <f>IFERROR(INDEX('Profit and Loss Highlights'!$A:$AAY,MATCH($AA271,'Profit and Loss Highlights'!$B:$B,0),MATCH(AI270,'Profit and Loss Highlights'!$1:$1,0)),"")</f>
        <v>-9.404388714733547E-2</v>
      </c>
      <c r="AJ271" s="31">
        <f>IFERROR(INDEX('Profit and Loss Highlights'!$A:$AAY,MATCH($AA271,'Profit and Loss Highlights'!$B:$B,0),MATCH(AJ270,'Profit and Loss Highlights'!$1:$1,0)),"")</f>
        <v>-0.1347305389221557</v>
      </c>
      <c r="AK271" s="31">
        <f>IFERROR(INDEX('Profit and Loss Highlights'!$A:$AAY,MATCH($AA271,'Profit and Loss Highlights'!$B:$B,0),MATCH(AK270,'Profit and Loss Highlights'!$1:$1,0)),"")</f>
        <v>-0.10555555555555551</v>
      </c>
      <c r="AL271" s="31">
        <f>IFERROR(INDEX('Profit and Loss Highlights'!$A:$AAY,MATCH($AA271,'Profit and Loss Highlights'!$B:$B,0),MATCH(AL270,'Profit and Loss Highlights'!$1:$1,0)),"")</f>
        <v>-5.2307692307692277E-2</v>
      </c>
      <c r="AM271" s="31">
        <f>IFERROR(INDEX('Profit and Loss Highlights'!$A:$AAY,MATCH($AA271,'Profit and Loss Highlights'!$B:$B,0),MATCH(AM270,'Profit and Loss Highlights'!$1:$1,0)),"")</f>
        <v>-0.19723183391003463</v>
      </c>
      <c r="AN271" s="31">
        <f>IFERROR(INDEX('Profit and Loss Highlights'!$A:$AAY,MATCH($AA271,'Profit and Loss Highlights'!$B:$B,0),MATCH(AN270,'Profit and Loss Highlights'!$1:$1,0)),"")</f>
        <v>0.10726643598615926</v>
      </c>
      <c r="AO271" s="31">
        <f>IFERROR(INDEX('Profit and Loss Highlights'!$A:$AAY,MATCH($AA271,'Profit and Loss Highlights'!$B:$B,0),MATCH(AO270,'Profit and Loss Highlights'!$1:$1,0)),"")</f>
        <v>2.1739130434782705E-2</v>
      </c>
      <c r="AP271" s="31">
        <f>IFERROR(INDEX('Profit and Loss Highlights'!$A:$AAY,MATCH($AA271,'Profit and Loss Highlights'!$B:$B,0),MATCH(AP270,'Profit and Loss Highlights'!$1:$1,0)),"")</f>
        <v>-6.8181818181818232E-2</v>
      </c>
      <c r="AQ271" s="31">
        <f>IFERROR(INDEX('Profit and Loss Highlights'!$A:$AAY,MATCH($AA271,'Profit and Loss Highlights'!$B:$B,0),MATCH(AQ270,'Profit and Loss Highlights'!$1:$1,0)),"")</f>
        <v>-0.75862068965517238</v>
      </c>
      <c r="AR271" s="31">
        <f>IFERROR(INDEX('Profit and Loss Highlights'!$A:$AAY,MATCH($AA271,'Profit and Loss Highlights'!$B:$B,0),MATCH(AR270,'Profit and Loss Highlights'!$1:$1,0)),"")</f>
        <v>0.10312499999999991</v>
      </c>
      <c r="AS271" s="31">
        <f>IFERROR(INDEX('Profit and Loss Highlights'!$A:$AAY,MATCH($AA271,'Profit and Loss Highlights'!$B:$B,0),MATCH(AS270,'Profit and Loss Highlights'!$1:$1,0)),"")</f>
        <v>8.2066869300911893E-2</v>
      </c>
      <c r="AT271" s="31">
        <f>IFERROR(INDEX('Profit and Loss Highlights'!$A:$AAY,MATCH($AA271,'Profit and Loss Highlights'!$B:$B,0),MATCH(AT270,'Profit and Loss Highlights'!$1:$1,0)),"")</f>
        <v>0.27526132404181181</v>
      </c>
      <c r="AU271" s="31">
        <f>IFERROR(INDEX('Profit and Loss Highlights'!$A:$AAY,MATCH($AA271,'Profit and Loss Highlights'!$B:$B,0),MATCH(AU270,'Profit and Loss Highlights'!$1:$1,0)),"")</f>
        <v>4.7321428571428568</v>
      </c>
    </row>
    <row r="272" spans="1:47" x14ac:dyDescent="0.35">
      <c r="A272" s="6"/>
      <c r="B272" s="6"/>
      <c r="C272" s="6"/>
      <c r="D272" s="6"/>
      <c r="E272" s="6"/>
      <c r="F272" s="6"/>
      <c r="G272" s="6"/>
      <c r="H272" s="6"/>
      <c r="I272" s="6"/>
      <c r="J272" s="6"/>
      <c r="K272" s="6"/>
      <c r="L272" s="6"/>
      <c r="M272" s="6"/>
      <c r="N272" s="6"/>
      <c r="O272" s="6"/>
      <c r="P272" s="6"/>
      <c r="Q272" s="6"/>
      <c r="R272" s="6"/>
      <c r="S272" s="6"/>
      <c r="T272" s="6"/>
      <c r="U272" s="6"/>
      <c r="V272" s="6"/>
      <c r="W272" s="6"/>
    </row>
    <row r="273" spans="1:47" x14ac:dyDescent="0.35">
      <c r="A273" s="6"/>
      <c r="B273" s="6"/>
      <c r="C273" s="6"/>
      <c r="D273" s="6"/>
      <c r="E273" s="6"/>
      <c r="F273" s="6"/>
      <c r="G273" s="6"/>
      <c r="H273" s="6"/>
      <c r="I273" s="6"/>
      <c r="J273" s="6"/>
      <c r="K273" s="6"/>
      <c r="L273" s="6"/>
      <c r="M273" s="6"/>
      <c r="N273" s="6"/>
      <c r="O273" s="6"/>
      <c r="P273" s="6"/>
      <c r="Q273" s="6"/>
      <c r="R273" s="6"/>
      <c r="S273" s="6"/>
      <c r="T273" s="6"/>
      <c r="U273" s="6"/>
      <c r="V273" s="6"/>
      <c r="W273" s="6"/>
    </row>
    <row r="274" spans="1:47" x14ac:dyDescent="0.35">
      <c r="A274" s="6"/>
      <c r="B274" s="6"/>
      <c r="C274" s="6"/>
      <c r="D274" s="6"/>
      <c r="E274" s="6"/>
      <c r="F274" s="6"/>
      <c r="G274" s="6"/>
      <c r="H274" s="6"/>
      <c r="I274" s="6"/>
      <c r="J274" s="6"/>
      <c r="K274" s="6"/>
      <c r="L274" s="6"/>
      <c r="M274" s="6"/>
      <c r="N274" s="6"/>
      <c r="O274" s="6"/>
      <c r="P274" s="6"/>
      <c r="Q274" s="6"/>
      <c r="R274" s="6"/>
      <c r="S274" s="6"/>
      <c r="T274" s="6"/>
      <c r="U274" s="6"/>
      <c r="V274" s="6"/>
      <c r="W274" s="6"/>
    </row>
    <row r="275" spans="1:47" x14ac:dyDescent="0.35">
      <c r="A275" s="6"/>
      <c r="B275" s="6"/>
      <c r="C275" s="6"/>
      <c r="D275" s="6"/>
      <c r="E275" s="6"/>
      <c r="F275" s="6"/>
      <c r="G275" s="6"/>
      <c r="H275" s="6"/>
      <c r="I275" s="6"/>
      <c r="J275" s="6"/>
      <c r="K275" s="6"/>
      <c r="L275" s="6"/>
      <c r="M275" s="6"/>
      <c r="N275" s="6"/>
      <c r="O275" s="6"/>
      <c r="P275" s="6"/>
      <c r="Q275" s="6"/>
      <c r="R275" s="6"/>
      <c r="S275" s="6"/>
      <c r="T275" s="6"/>
      <c r="U275" s="6"/>
      <c r="V275" s="6"/>
      <c r="W275" s="6"/>
      <c r="AB275" s="27">
        <f t="shared" ref="AB275" si="469">AC275-1</f>
        <v>33</v>
      </c>
      <c r="AC275" s="27">
        <f t="shared" ref="AC275" si="470">AD275-1</f>
        <v>34</v>
      </c>
      <c r="AD275" s="27">
        <f t="shared" ref="AD275" si="471">AE275-1</f>
        <v>35</v>
      </c>
      <c r="AE275" s="27">
        <f t="shared" ref="AE275" si="472">AF275-1</f>
        <v>36</v>
      </c>
      <c r="AF275" s="27">
        <f t="shared" ref="AF275" si="473">AG275-1</f>
        <v>37</v>
      </c>
      <c r="AG275" s="27">
        <f t="shared" ref="AG275" si="474">AH275-1</f>
        <v>38</v>
      </c>
      <c r="AH275" s="27">
        <f t="shared" ref="AH275" si="475">AI275-1</f>
        <v>39</v>
      </c>
      <c r="AI275" s="27">
        <f t="shared" ref="AI275" si="476">AJ275-1</f>
        <v>40</v>
      </c>
      <c r="AJ275" s="27">
        <f t="shared" ref="AJ275" si="477">AK275-1</f>
        <v>41</v>
      </c>
      <c r="AK275" s="27">
        <f t="shared" ref="AK275" si="478">AL275-1</f>
        <v>42</v>
      </c>
      <c r="AL275" s="27">
        <f t="shared" ref="AL275" si="479">AM275-1</f>
        <v>43</v>
      </c>
      <c r="AM275" s="27">
        <f t="shared" ref="AM275" si="480">AN275-1</f>
        <v>44</v>
      </c>
      <c r="AN275" s="27">
        <f t="shared" ref="AN275" si="481">AO275-1</f>
        <v>45</v>
      </c>
      <c r="AO275" s="27">
        <f t="shared" ref="AO275" si="482">AP275-1</f>
        <v>46</v>
      </c>
      <c r="AP275" s="27">
        <f t="shared" ref="AP275" si="483">AQ275-1</f>
        <v>47</v>
      </c>
      <c r="AQ275" s="27">
        <f t="shared" ref="AQ275" si="484">AR275-1</f>
        <v>48</v>
      </c>
      <c r="AR275" s="27">
        <f t="shared" ref="AR275" si="485">AS275-1</f>
        <v>49</v>
      </c>
      <c r="AS275" s="27">
        <f t="shared" ref="AS275" si="486">AT275-1</f>
        <v>50</v>
      </c>
      <c r="AT275" s="27">
        <f>AU275-1</f>
        <v>51</v>
      </c>
      <c r="AU275" s="27">
        <f>VLOOKUP(AU276,Dates!$A:$D,2,FALSE)</f>
        <v>52</v>
      </c>
    </row>
    <row r="276" spans="1:47" x14ac:dyDescent="0.35">
      <c r="A276" s="6"/>
      <c r="B276" s="6"/>
      <c r="C276" s="6"/>
      <c r="D276" s="6"/>
      <c r="E276" s="6"/>
      <c r="F276" s="6"/>
      <c r="G276" s="6"/>
      <c r="H276" s="6"/>
      <c r="I276" s="6"/>
      <c r="J276" s="6"/>
      <c r="K276" s="6"/>
      <c r="L276" s="6"/>
      <c r="M276" s="6"/>
      <c r="N276" s="6"/>
      <c r="O276" s="6"/>
      <c r="P276" s="6"/>
      <c r="Q276" s="6"/>
      <c r="R276" s="6"/>
      <c r="S276" s="6"/>
      <c r="T276" s="6"/>
      <c r="U276" s="6"/>
      <c r="V276" s="6"/>
      <c r="W276" s="6"/>
      <c r="AB276" s="27" t="str">
        <f>IFERROR(VLOOKUP(AB275,Dates!$B:$D,3,FALSE),"")</f>
        <v>1Q20</v>
      </c>
      <c r="AC276" s="27" t="str">
        <f>IFERROR(VLOOKUP(AC275,Dates!$B:$D,3,FALSE),"")</f>
        <v>2Q20</v>
      </c>
      <c r="AD276" s="27" t="str">
        <f>IFERROR(VLOOKUP(AD275,Dates!$B:$D,3,FALSE),"")</f>
        <v>3Q20</v>
      </c>
      <c r="AE276" s="27" t="str">
        <f>IFERROR(VLOOKUP(AE275,Dates!$B:$D,3,FALSE),"")</f>
        <v>4Q20</v>
      </c>
      <c r="AF276" s="27" t="str">
        <f>IFERROR(VLOOKUP(AF275,Dates!$B:$D,3,FALSE),"")</f>
        <v>1Q21</v>
      </c>
      <c r="AG276" s="27" t="str">
        <f>IFERROR(VLOOKUP(AG275,Dates!$B:$D,3,FALSE),"")</f>
        <v>2Q21</v>
      </c>
      <c r="AH276" s="27" t="str">
        <f>IFERROR(VLOOKUP(AH275,Dates!$B:$D,3,FALSE),"")</f>
        <v>3Q21</v>
      </c>
      <c r="AI276" s="27" t="str">
        <f>IFERROR(VLOOKUP(AI275,Dates!$B:$D,3,FALSE),"")</f>
        <v>4Q21</v>
      </c>
      <c r="AJ276" s="27" t="str">
        <f>IFERROR(VLOOKUP(AJ275,Dates!$B:$D,3,FALSE),"")</f>
        <v>1Q22</v>
      </c>
      <c r="AK276" s="27" t="str">
        <f>IFERROR(VLOOKUP(AK275,Dates!$B:$D,3,FALSE),"")</f>
        <v>2Q22</v>
      </c>
      <c r="AL276" s="27" t="str">
        <f>IFERROR(VLOOKUP(AL275,Dates!$B:$D,3,FALSE),"")</f>
        <v>3Q22</v>
      </c>
      <c r="AM276" s="27" t="str">
        <f>IFERROR(VLOOKUP(AM275,Dates!$B:$D,3,FALSE),"")</f>
        <v>4Q22</v>
      </c>
      <c r="AN276" s="27" t="str">
        <f>IFERROR(VLOOKUP(AN275,Dates!$B:$D,3,FALSE),"")</f>
        <v>1Q23</v>
      </c>
      <c r="AO276" s="27" t="str">
        <f>IFERROR(VLOOKUP(AO275,Dates!$B:$D,3,FALSE),"")</f>
        <v>2Q23</v>
      </c>
      <c r="AP276" s="27" t="str">
        <f>IFERROR(VLOOKUP(AP275,Dates!$B:$D,3,FALSE),"")</f>
        <v>3Q23</v>
      </c>
      <c r="AQ276" s="27" t="str">
        <f>IFERROR(VLOOKUP(AQ275,Dates!$B:$D,3,FALSE),"")</f>
        <v>4Q23</v>
      </c>
      <c r="AR276" s="27" t="str">
        <f>IFERROR(VLOOKUP(AR275,Dates!$B:$D,3,FALSE),"")</f>
        <v>1Q24</v>
      </c>
      <c r="AS276" s="27" t="str">
        <f>IFERROR(VLOOKUP(AS275,Dates!$B:$D,3,FALSE),"")</f>
        <v>2Q24</v>
      </c>
      <c r="AT276" s="27" t="str">
        <f>IFERROR(VLOOKUP(AT275,Dates!$B:$D,3,FALSE),"")</f>
        <v>3Q24</v>
      </c>
      <c r="AU276" s="28" t="str">
        <f>$G$3</f>
        <v>4Q24</v>
      </c>
    </row>
    <row r="277" spans="1:47" x14ac:dyDescent="0.35">
      <c r="A277" s="6"/>
      <c r="B277" s="6"/>
      <c r="C277" s="6"/>
      <c r="D277" s="6"/>
      <c r="E277" s="6"/>
      <c r="F277" s="6"/>
      <c r="G277" s="6"/>
      <c r="H277" s="6"/>
      <c r="I277" s="6"/>
      <c r="J277" s="6"/>
      <c r="K277" s="6"/>
      <c r="L277" s="6"/>
      <c r="M277" s="6"/>
      <c r="N277" s="6"/>
      <c r="O277" s="6"/>
      <c r="P277" s="6"/>
      <c r="Q277" s="6"/>
      <c r="R277" s="6"/>
      <c r="S277" s="6"/>
      <c r="T277" s="6"/>
      <c r="U277" s="6"/>
      <c r="V277" s="6"/>
      <c r="W277" s="6"/>
      <c r="AA277" s="29" t="str">
        <f>'Key Balance Sheet &amp; CFlow Items'!B24</f>
        <v>Net debt/LQA EBITDA</v>
      </c>
      <c r="AB277" s="32">
        <f>IFERROR(INDEX('Key Balance Sheet &amp; CFlow Items'!$A:$AAY,MATCH($AA277,'Key Balance Sheet &amp; CFlow Items'!$B:$B,0),MATCH(AB276,'Key Balance Sheet &amp; CFlow Items'!$1:$1,0)),"")</f>
        <v>2.1297669491525424</v>
      </c>
      <c r="AC277" s="32">
        <f>IFERROR(INDEX('Key Balance Sheet &amp; CFlow Items'!$A:$AAY,MATCH($AA277,'Key Balance Sheet &amp; CFlow Items'!$B:$B,0),MATCH(AC276,'Key Balance Sheet &amp; CFlow Items'!$1:$1,0)),"")</f>
        <v>2.2009594882729213</v>
      </c>
      <c r="AD277" s="32">
        <f>IFERROR(INDEX('Key Balance Sheet &amp; CFlow Items'!$A:$AAY,MATCH($AA277,'Key Balance Sheet &amp; CFlow Items'!$B:$B,0),MATCH(AD276,'Key Balance Sheet &amp; CFlow Items'!$1:$1,0)),"")</f>
        <v>2.1702518363064009</v>
      </c>
      <c r="AE277" s="32">
        <f>IFERROR(INDEX('Key Balance Sheet &amp; CFlow Items'!$A:$AAY,MATCH($AA277,'Key Balance Sheet &amp; CFlow Items'!$B:$B,0),MATCH(AE276,'Key Balance Sheet &amp; CFlow Items'!$1:$1,0)),"")</f>
        <v>2.4472402597402598</v>
      </c>
      <c r="AF277" s="32">
        <f>IFERROR(INDEX('Key Balance Sheet &amp; CFlow Items'!$A:$AAY,MATCH($AA277,'Key Balance Sheet &amp; CFlow Items'!$B:$B,0),MATCH(AF276,'Key Balance Sheet &amp; CFlow Items'!$1:$1,0)),"")</f>
        <v>2.3777315296566077</v>
      </c>
      <c r="AG277" s="32">
        <f>IFERROR(INDEX('Key Balance Sheet &amp; CFlow Items'!$A:$AAY,MATCH($AA277,'Key Balance Sheet &amp; CFlow Items'!$B:$B,0),MATCH(AG276,'Key Balance Sheet &amp; CFlow Items'!$1:$1,0)),"")</f>
        <v>2.2520080321285141</v>
      </c>
      <c r="AH277" s="32">
        <f>IFERROR(INDEX('Key Balance Sheet &amp; CFlow Items'!$A:$AAY,MATCH($AA277,'Key Balance Sheet &amp; CFlow Items'!$B:$B,0),MATCH(AH276,'Key Balance Sheet &amp; CFlow Items'!$1:$1,0)),"")</f>
        <v>2.2848297213622293</v>
      </c>
      <c r="AI277" s="32">
        <f>IFERROR(INDEX('Key Balance Sheet &amp; CFlow Items'!$A:$AAY,MATCH($AA277,'Key Balance Sheet &amp; CFlow Items'!$B:$B,0),MATCH(AI276,'Key Balance Sheet &amp; CFlow Items'!$1:$1,0)),"")</f>
        <v>2.3892167381974247</v>
      </c>
      <c r="AJ277" s="32">
        <f>IFERROR(INDEX('Key Balance Sheet &amp; CFlow Items'!$A:$AAY,MATCH($AA277,'Key Balance Sheet &amp; CFlow Items'!$B:$B,0),MATCH(AJ276,'Key Balance Sheet &amp; CFlow Items'!$1:$1,0)),"")</f>
        <v>2.5364077669902914</v>
      </c>
      <c r="AK277" s="32">
        <f>IFERROR(INDEX('Key Balance Sheet &amp; CFlow Items'!$A:$AAY,MATCH($AA277,'Key Balance Sheet &amp; CFlow Items'!$B:$B,0),MATCH(AK276,'Key Balance Sheet &amp; CFlow Items'!$1:$1,0)),"")</f>
        <v>2.2336956521739131</v>
      </c>
      <c r="AL277" s="32">
        <f>IFERROR(INDEX('Key Balance Sheet &amp; CFlow Items'!$A:$AAY,MATCH($AA277,'Key Balance Sheet &amp; CFlow Items'!$B:$B,0),MATCH(AL276,'Key Balance Sheet &amp; CFlow Items'!$1:$1,0)),"")</f>
        <v>2.2766434262948207</v>
      </c>
      <c r="AM277" s="32">
        <f>IFERROR(INDEX('Key Balance Sheet &amp; CFlow Items'!$A:$AAY,MATCH($AA277,'Key Balance Sheet &amp; CFlow Items'!$B:$B,0),MATCH(AM276,'Key Balance Sheet &amp; CFlow Items'!$1:$1,0)),"")</f>
        <v>2.3420385395537524</v>
      </c>
      <c r="AN277" s="32">
        <f>IFERROR(INDEX('Key Balance Sheet &amp; CFlow Items'!$A:$AAY,MATCH($AA277,'Key Balance Sheet &amp; CFlow Items'!$B:$B,0),MATCH(AN276,'Key Balance Sheet &amp; CFlow Items'!$1:$1,0)),"")</f>
        <v>2.5249485596707819</v>
      </c>
      <c r="AO277" s="32">
        <f>IFERROR(INDEX('Key Balance Sheet &amp; CFlow Items'!$A:$AAY,MATCH($AA277,'Key Balance Sheet &amp; CFlow Items'!$B:$B,0),MATCH(AO276,'Key Balance Sheet &amp; CFlow Items'!$1:$1,0)),"")</f>
        <v>2.3804890219560879</v>
      </c>
      <c r="AP277" s="32">
        <f>IFERROR(INDEX('Key Balance Sheet &amp; CFlow Items'!$A:$AAY,MATCH($AA277,'Key Balance Sheet &amp; CFlow Items'!$B:$B,0),MATCH(AP276,'Key Balance Sheet &amp; CFlow Items'!$1:$1,0)),"")</f>
        <v>2.4416038751345535</v>
      </c>
      <c r="AQ277" s="32">
        <f>IFERROR(INDEX('Key Balance Sheet &amp; CFlow Items'!$A:$AAY,MATCH($AA277,'Key Balance Sheet &amp; CFlow Items'!$B:$B,0),MATCH(AQ276,'Key Balance Sheet &amp; CFlow Items'!$1:$1,0)),"")</f>
        <v>2.1766792809839166</v>
      </c>
      <c r="AR277" s="32">
        <f>IFERROR(INDEX('Key Balance Sheet &amp; CFlow Items'!$A:$AAY,MATCH($AA277,'Key Balance Sheet &amp; CFlow Items'!$B:$B,0),MATCH(AR276,'Key Balance Sheet &amp; CFlow Items'!$1:$1,0)),"")</f>
        <v>2.1305076628352491</v>
      </c>
      <c r="AS277" s="32">
        <f>IFERROR(INDEX('Key Balance Sheet &amp; CFlow Items'!$A:$AAY,MATCH($AA277,'Key Balance Sheet &amp; CFlow Items'!$B:$B,0),MATCH(AS276,'Key Balance Sheet &amp; CFlow Items'!$1:$1,0)),"")</f>
        <v>2.0368068833652009</v>
      </c>
      <c r="AT277" s="32">
        <f>IFERROR(INDEX('Key Balance Sheet &amp; CFlow Items'!$A:$AAY,MATCH($AA277,'Key Balance Sheet &amp; CFlow Items'!$B:$B,0),MATCH(AT276,'Key Balance Sheet &amp; CFlow Items'!$1:$1,0)),"")</f>
        <v>2.0188454198473282</v>
      </c>
      <c r="AU277" s="32">
        <f>IFERROR(INDEX('Key Balance Sheet &amp; CFlow Items'!$A:$AAY,MATCH($AA277,'Key Balance Sheet &amp; CFlow Items'!$B:$B,0),MATCH(AU276,'Key Balance Sheet &amp; CFlow Items'!$1:$1,0)),"")</f>
        <v>2.2421239837398375</v>
      </c>
    </row>
    <row r="278" spans="1:47" x14ac:dyDescent="0.35">
      <c r="A278" s="6"/>
      <c r="B278" s="6"/>
      <c r="C278" s="6"/>
      <c r="D278" s="6"/>
      <c r="E278" s="6"/>
      <c r="F278" s="6"/>
      <c r="G278" s="6"/>
      <c r="H278" s="6"/>
      <c r="I278" s="6"/>
      <c r="J278" s="6"/>
      <c r="K278" s="6"/>
      <c r="L278" s="6"/>
      <c r="M278" s="6"/>
      <c r="N278" s="6"/>
      <c r="O278" s="6"/>
      <c r="P278" s="6"/>
      <c r="Q278" s="6"/>
      <c r="R278" s="6"/>
      <c r="S278" s="6"/>
      <c r="T278" s="6"/>
      <c r="U278" s="6"/>
      <c r="V278" s="6"/>
      <c r="W278" s="6"/>
    </row>
    <row r="279" spans="1:47" x14ac:dyDescent="0.35">
      <c r="A279" s="6"/>
      <c r="B279" s="6"/>
      <c r="C279" s="6"/>
      <c r="D279" s="6"/>
      <c r="E279" s="6"/>
      <c r="F279" s="6"/>
      <c r="G279" s="6"/>
      <c r="H279" s="6"/>
      <c r="I279" s="6"/>
      <c r="J279" s="6"/>
      <c r="K279" s="6"/>
      <c r="L279" s="6"/>
      <c r="M279" s="6"/>
      <c r="N279" s="6"/>
      <c r="O279" s="6"/>
      <c r="P279" s="6"/>
      <c r="Q279" s="6"/>
      <c r="R279" s="6"/>
      <c r="S279" s="6"/>
      <c r="T279" s="6"/>
      <c r="U279" s="6"/>
      <c r="V279" s="6"/>
      <c r="W279" s="6"/>
    </row>
    <row r="280" spans="1:47" x14ac:dyDescent="0.35">
      <c r="A280" s="6"/>
      <c r="B280" s="6"/>
      <c r="C280" s="6"/>
      <c r="D280" s="6"/>
      <c r="E280" s="6"/>
      <c r="F280" s="6"/>
      <c r="G280" s="6"/>
      <c r="H280" s="6"/>
      <c r="I280" s="6"/>
      <c r="J280" s="6"/>
      <c r="K280" s="6"/>
      <c r="L280" s="6"/>
      <c r="M280" s="6"/>
      <c r="N280" s="6"/>
      <c r="O280" s="6"/>
      <c r="P280" s="6"/>
      <c r="Q280" s="6"/>
      <c r="R280" s="6"/>
      <c r="S280" s="6"/>
      <c r="T280" s="6"/>
      <c r="U280" s="6"/>
      <c r="V280" s="6"/>
      <c r="W280" s="6"/>
    </row>
    <row r="281" spans="1:47" x14ac:dyDescent="0.35">
      <c r="A281" s="6"/>
      <c r="B281" s="6"/>
      <c r="C281" s="6"/>
      <c r="D281" s="6"/>
      <c r="E281" s="6"/>
      <c r="F281" s="6"/>
      <c r="G281" s="6"/>
      <c r="H281" s="6"/>
      <c r="I281" s="6"/>
      <c r="J281" s="6"/>
      <c r="K281" s="6"/>
      <c r="L281" s="6"/>
      <c r="M281" s="6"/>
      <c r="N281" s="6"/>
      <c r="O281" s="6"/>
      <c r="P281" s="6"/>
      <c r="Q281" s="6"/>
      <c r="R281" s="6"/>
      <c r="S281" s="6"/>
      <c r="T281" s="6"/>
      <c r="U281" s="6"/>
      <c r="V281" s="6"/>
      <c r="W281" s="6"/>
    </row>
    <row r="282" spans="1:47" x14ac:dyDescent="0.35">
      <c r="A282" s="1" t="s">
        <v>31</v>
      </c>
      <c r="B282" s="1" t="s">
        <v>76</v>
      </c>
      <c r="C282" s="1"/>
      <c r="D282" s="1"/>
      <c r="E282" s="1"/>
      <c r="F282" s="1"/>
      <c r="G282" s="1"/>
      <c r="H282" s="1"/>
      <c r="I282" s="1"/>
      <c r="J282" s="1"/>
      <c r="K282" s="1" t="s">
        <v>32</v>
      </c>
      <c r="L282" s="1" t="s">
        <v>102</v>
      </c>
      <c r="M282" s="1"/>
      <c r="N282" s="1"/>
      <c r="O282" s="1"/>
      <c r="P282" s="1"/>
      <c r="Q282" s="1"/>
      <c r="R282" s="1"/>
      <c r="S282" s="1"/>
      <c r="T282" s="1"/>
      <c r="U282" s="6"/>
      <c r="V282" s="6"/>
      <c r="W282" s="6"/>
    </row>
    <row r="283" spans="1:47" x14ac:dyDescent="0.35">
      <c r="A283" s="6"/>
      <c r="B283" s="6"/>
      <c r="C283" s="6"/>
      <c r="D283" s="6"/>
      <c r="E283" s="6"/>
      <c r="F283" s="6"/>
      <c r="G283" s="6"/>
      <c r="H283" s="6"/>
      <c r="I283" s="6"/>
      <c r="J283" s="6"/>
      <c r="K283" s="6"/>
      <c r="L283" s="6"/>
      <c r="M283" s="6"/>
      <c r="N283" s="6"/>
      <c r="O283" s="6"/>
      <c r="P283" s="6"/>
      <c r="Q283" s="6"/>
      <c r="R283" s="6"/>
      <c r="S283" s="6"/>
      <c r="T283" s="6"/>
      <c r="U283" s="6"/>
      <c r="V283" s="6"/>
      <c r="W283" s="6"/>
    </row>
    <row r="284" spans="1:47" x14ac:dyDescent="0.35">
      <c r="A284" s="6"/>
      <c r="B284" s="6"/>
      <c r="C284" s="6"/>
      <c r="D284" s="6"/>
      <c r="E284" s="6"/>
      <c r="F284" s="6"/>
      <c r="G284" s="6"/>
      <c r="H284" s="6"/>
      <c r="I284" s="6"/>
      <c r="J284" s="6"/>
      <c r="K284" s="6"/>
      <c r="L284" s="6"/>
      <c r="M284" s="6"/>
      <c r="N284" s="6"/>
      <c r="O284" s="6"/>
      <c r="P284" s="6"/>
      <c r="Q284" s="6"/>
      <c r="R284" s="6"/>
      <c r="S284" s="6"/>
      <c r="T284" s="6"/>
      <c r="U284" s="6"/>
      <c r="V284" s="6"/>
      <c r="W284" s="6"/>
    </row>
    <row r="285" spans="1:47" x14ac:dyDescent="0.35">
      <c r="A285" s="6"/>
      <c r="B285" s="6"/>
      <c r="C285" s="6"/>
      <c r="D285" s="6"/>
      <c r="E285" s="6"/>
      <c r="F285" s="6"/>
      <c r="G285" s="6"/>
      <c r="H285" s="6"/>
      <c r="I285" s="6"/>
      <c r="J285" s="6"/>
      <c r="K285" s="6"/>
      <c r="L285" s="6"/>
      <c r="M285" s="6"/>
      <c r="N285" s="6"/>
      <c r="O285" s="6"/>
      <c r="P285" s="6"/>
      <c r="Q285" s="6"/>
      <c r="R285" s="6"/>
      <c r="S285" s="6"/>
      <c r="T285" s="6"/>
      <c r="U285" s="6"/>
      <c r="V285" s="6"/>
      <c r="W285" s="6"/>
      <c r="AB285" s="27">
        <f t="shared" ref="AB285" si="487">AC285-1</f>
        <v>33</v>
      </c>
      <c r="AC285" s="27">
        <f t="shared" ref="AC285" si="488">AD285-1</f>
        <v>34</v>
      </c>
      <c r="AD285" s="27">
        <f t="shared" ref="AD285" si="489">AE285-1</f>
        <v>35</v>
      </c>
      <c r="AE285" s="27">
        <f t="shared" ref="AE285" si="490">AF285-1</f>
        <v>36</v>
      </c>
      <c r="AF285" s="27">
        <f t="shared" ref="AF285" si="491">AG285-1</f>
        <v>37</v>
      </c>
      <c r="AG285" s="27">
        <f t="shared" ref="AG285" si="492">AH285-1</f>
        <v>38</v>
      </c>
      <c r="AH285" s="27">
        <f t="shared" ref="AH285" si="493">AI285-1</f>
        <v>39</v>
      </c>
      <c r="AI285" s="27">
        <f t="shared" ref="AI285" si="494">AJ285-1</f>
        <v>40</v>
      </c>
      <c r="AJ285" s="27">
        <f t="shared" ref="AJ285" si="495">AK285-1</f>
        <v>41</v>
      </c>
      <c r="AK285" s="27">
        <f t="shared" ref="AK285" si="496">AL285-1</f>
        <v>42</v>
      </c>
      <c r="AL285" s="27">
        <f t="shared" ref="AL285" si="497">AM285-1</f>
        <v>43</v>
      </c>
      <c r="AM285" s="27">
        <f t="shared" ref="AM285" si="498">AN285-1</f>
        <v>44</v>
      </c>
      <c r="AN285" s="27">
        <f t="shared" ref="AN285" si="499">AO285-1</f>
        <v>45</v>
      </c>
      <c r="AO285" s="27">
        <f t="shared" ref="AO285" si="500">AP285-1</f>
        <v>46</v>
      </c>
      <c r="AP285" s="27">
        <f t="shared" ref="AP285" si="501">AQ285-1</f>
        <v>47</v>
      </c>
      <c r="AQ285" s="27">
        <f t="shared" ref="AQ285" si="502">AR285-1</f>
        <v>48</v>
      </c>
      <c r="AR285" s="27">
        <f t="shared" ref="AR285" si="503">AS285-1</f>
        <v>49</v>
      </c>
      <c r="AS285" s="27">
        <f t="shared" ref="AS285" si="504">AT285-1</f>
        <v>50</v>
      </c>
      <c r="AT285" s="27">
        <f>AU285-1</f>
        <v>51</v>
      </c>
      <c r="AU285" s="27">
        <f>VLOOKUP(AU286,Dates!$A:$D,2,FALSE)</f>
        <v>52</v>
      </c>
    </row>
    <row r="286" spans="1:47" x14ac:dyDescent="0.35">
      <c r="A286" s="6"/>
      <c r="B286" s="6"/>
      <c r="C286" s="6"/>
      <c r="D286" s="6"/>
      <c r="E286" s="6"/>
      <c r="F286" s="6"/>
      <c r="G286" s="6"/>
      <c r="H286" s="6"/>
      <c r="I286" s="6"/>
      <c r="J286" s="6"/>
      <c r="K286" s="6"/>
      <c r="L286" s="6"/>
      <c r="M286" s="6"/>
      <c r="N286" s="6"/>
      <c r="O286" s="6"/>
      <c r="P286" s="6"/>
      <c r="Q286" s="6"/>
      <c r="R286" s="6"/>
      <c r="S286" s="6"/>
      <c r="T286" s="6"/>
      <c r="U286" s="6"/>
      <c r="V286" s="6"/>
      <c r="W286" s="6"/>
      <c r="AB286" s="27" t="str">
        <f>IFERROR(VLOOKUP(AB285,Dates!$B:$D,3,FALSE),"")</f>
        <v>1Q20</v>
      </c>
      <c r="AC286" s="27" t="str">
        <f>IFERROR(VLOOKUP(AC285,Dates!$B:$D,3,FALSE),"")</f>
        <v>2Q20</v>
      </c>
      <c r="AD286" s="27" t="str">
        <f>IFERROR(VLOOKUP(AD285,Dates!$B:$D,3,FALSE),"")</f>
        <v>3Q20</v>
      </c>
      <c r="AE286" s="27" t="str">
        <f>IFERROR(VLOOKUP(AE285,Dates!$B:$D,3,FALSE),"")</f>
        <v>4Q20</v>
      </c>
      <c r="AF286" s="27" t="str">
        <f>IFERROR(VLOOKUP(AF285,Dates!$B:$D,3,FALSE),"")</f>
        <v>1Q21</v>
      </c>
      <c r="AG286" s="27" t="str">
        <f>IFERROR(VLOOKUP(AG285,Dates!$B:$D,3,FALSE),"")</f>
        <v>2Q21</v>
      </c>
      <c r="AH286" s="27" t="str">
        <f>IFERROR(VLOOKUP(AH285,Dates!$B:$D,3,FALSE),"")</f>
        <v>3Q21</v>
      </c>
      <c r="AI286" s="27" t="str">
        <f>IFERROR(VLOOKUP(AI285,Dates!$B:$D,3,FALSE),"")</f>
        <v>4Q21</v>
      </c>
      <c r="AJ286" s="27" t="str">
        <f>IFERROR(VLOOKUP(AJ285,Dates!$B:$D,3,FALSE),"")</f>
        <v>1Q22</v>
      </c>
      <c r="AK286" s="27" t="str">
        <f>IFERROR(VLOOKUP(AK285,Dates!$B:$D,3,FALSE),"")</f>
        <v>2Q22</v>
      </c>
      <c r="AL286" s="27" t="str">
        <f>IFERROR(VLOOKUP(AL285,Dates!$B:$D,3,FALSE),"")</f>
        <v>3Q22</v>
      </c>
      <c r="AM286" s="27" t="str">
        <f>IFERROR(VLOOKUP(AM285,Dates!$B:$D,3,FALSE),"")</f>
        <v>4Q22</v>
      </c>
      <c r="AN286" s="27" t="str">
        <f>IFERROR(VLOOKUP(AN285,Dates!$B:$D,3,FALSE),"")</f>
        <v>1Q23</v>
      </c>
      <c r="AO286" s="27" t="str">
        <f>IFERROR(VLOOKUP(AO285,Dates!$B:$D,3,FALSE),"")</f>
        <v>2Q23</v>
      </c>
      <c r="AP286" s="27" t="str">
        <f>IFERROR(VLOOKUP(AP285,Dates!$B:$D,3,FALSE),"")</f>
        <v>3Q23</v>
      </c>
      <c r="AQ286" s="27" t="str">
        <f>IFERROR(VLOOKUP(AQ285,Dates!$B:$D,3,FALSE),"")</f>
        <v>4Q23</v>
      </c>
      <c r="AR286" s="27" t="str">
        <f>IFERROR(VLOOKUP(AR285,Dates!$B:$D,3,FALSE),"")</f>
        <v>1Q24</v>
      </c>
      <c r="AS286" s="27" t="str">
        <f>IFERROR(VLOOKUP(AS285,Dates!$B:$D,3,FALSE),"")</f>
        <v>2Q24</v>
      </c>
      <c r="AT286" s="27" t="str">
        <f>IFERROR(VLOOKUP(AT285,Dates!$B:$D,3,FALSE),"")</f>
        <v>3Q24</v>
      </c>
      <c r="AU286" s="28" t="str">
        <f>$G$3</f>
        <v>4Q24</v>
      </c>
    </row>
    <row r="287" spans="1:47" x14ac:dyDescent="0.35">
      <c r="A287" s="6"/>
      <c r="B287" s="6"/>
      <c r="C287" s="6"/>
      <c r="D287" s="6"/>
      <c r="E287" s="6"/>
      <c r="F287" s="6"/>
      <c r="G287" s="6"/>
      <c r="H287" s="6"/>
      <c r="I287" s="6"/>
      <c r="J287" s="6"/>
      <c r="K287" s="6"/>
      <c r="L287" s="6"/>
      <c r="M287" s="6"/>
      <c r="N287" s="6"/>
      <c r="O287" s="6"/>
      <c r="P287" s="6"/>
      <c r="Q287" s="6"/>
      <c r="R287" s="6"/>
      <c r="S287" s="6"/>
      <c r="T287" s="6"/>
      <c r="U287" s="6"/>
      <c r="V287" s="6"/>
      <c r="W287" s="6"/>
      <c r="AA287" s="29" t="str">
        <f>'Key Balance Sheet &amp; CFlow Items'!B19</f>
        <v>Capex as % of sales</v>
      </c>
      <c r="AB287" s="31">
        <f>IFERROR(INDEX('Key Balance Sheet &amp; CFlow Items'!$A:$AAY,MATCH($AA287,'Key Balance Sheet &amp; CFlow Items'!$B:$B,0),MATCH(AB286,'Key Balance Sheet &amp; CFlow Items'!$1:$1,0)),"")</f>
        <v>6.9628363947031188E-2</v>
      </c>
      <c r="AC287" s="31">
        <f>IFERROR(INDEX('Key Balance Sheet &amp; CFlow Items'!$A:$AAY,MATCH($AA287,'Key Balance Sheet &amp; CFlow Items'!$B:$B,0),MATCH(AC286,'Key Balance Sheet &amp; CFlow Items'!$1:$1,0)),"")</f>
        <v>0.1204091120409112</v>
      </c>
      <c r="AD287" s="31">
        <f>IFERROR(INDEX('Key Balance Sheet &amp; CFlow Items'!$A:$AAY,MATCH($AA287,'Key Balance Sheet &amp; CFlow Items'!$B:$B,0),MATCH(AD286,'Key Balance Sheet &amp; CFlow Items'!$1:$1,0)),"")</f>
        <v>0.14414821509263442</v>
      </c>
      <c r="AE287" s="31">
        <f>IFERROR(INDEX('Key Balance Sheet &amp; CFlow Items'!$A:$AAY,MATCH($AA287,'Key Balance Sheet &amp; CFlow Items'!$B:$B,0),MATCH(AE286,'Key Balance Sheet &amp; CFlow Items'!$1:$1,0)),"")</f>
        <v>0.22291021671826625</v>
      </c>
      <c r="AF287" s="31">
        <f>IFERROR(INDEX('Key Balance Sheet &amp; CFlow Items'!$A:$AAY,MATCH($AA287,'Key Balance Sheet &amp; CFlow Items'!$B:$B,0),MATCH(AF286,'Key Balance Sheet &amp; CFlow Items'!$1:$1,0)),"")</f>
        <v>6.0714285714285714E-2</v>
      </c>
      <c r="AG287" s="31">
        <f>IFERROR(INDEX('Key Balance Sheet &amp; CFlow Items'!$A:$AAY,MATCH($AA287,'Key Balance Sheet &amp; CFlow Items'!$B:$B,0),MATCH(AG286,'Key Balance Sheet &amp; CFlow Items'!$1:$1,0)),"")</f>
        <v>7.9155672823219003E-2</v>
      </c>
      <c r="AH287" s="31">
        <f>IFERROR(INDEX('Key Balance Sheet &amp; CFlow Items'!$A:$AAY,MATCH($AA287,'Key Balance Sheet &amp; CFlow Items'!$B:$B,0),MATCH(AH286,'Key Balance Sheet &amp; CFlow Items'!$1:$1,0)),"")</f>
        <v>0.12065169528841919</v>
      </c>
      <c r="AI287" s="31">
        <f>IFERROR(INDEX('Key Balance Sheet &amp; CFlow Items'!$A:$AAY,MATCH($AA287,'Key Balance Sheet &amp; CFlow Items'!$B:$B,0),MATCH(AI286,'Key Balance Sheet &amp; CFlow Items'!$1:$1,0)),"")</f>
        <v>0.24307817589576547</v>
      </c>
      <c r="AJ287" s="31">
        <f>IFERROR(INDEX('Key Balance Sheet &amp; CFlow Items'!$A:$AAY,MATCH($AA287,'Key Balance Sheet &amp; CFlow Items'!$B:$B,0),MATCH(AJ286,'Key Balance Sheet &amp; CFlow Items'!$1:$1,0)),"")</f>
        <v>7.1072319201995013E-2</v>
      </c>
      <c r="AK287" s="31">
        <f>IFERROR(INDEX('Key Balance Sheet &amp; CFlow Items'!$A:$AAY,MATCH($AA287,'Key Balance Sheet &amp; CFlow Items'!$B:$B,0),MATCH(AK286,'Key Balance Sheet &amp; CFlow Items'!$1:$1,0)),"")</f>
        <v>9.9422442244224418E-2</v>
      </c>
      <c r="AL287" s="31">
        <f>IFERROR(INDEX('Key Balance Sheet &amp; CFlow Items'!$A:$AAY,MATCH($AA287,'Key Balance Sheet &amp; CFlow Items'!$B:$B,0),MATCH(AL286,'Key Balance Sheet &amp; CFlow Items'!$1:$1,0)),"")</f>
        <v>0.1130977130977131</v>
      </c>
      <c r="AM287" s="31">
        <f>IFERROR(INDEX('Key Balance Sheet &amp; CFlow Items'!$A:$AAY,MATCH($AA287,'Key Balance Sheet &amp; CFlow Items'!$B:$B,0),MATCH(AM286,'Key Balance Sheet &amp; CFlow Items'!$1:$1,0)),"")</f>
        <v>0.16836335160532498</v>
      </c>
      <c r="AN287" s="31">
        <f>IFERROR(INDEX('Key Balance Sheet &amp; CFlow Items'!$A:$AAY,MATCH($AA287,'Key Balance Sheet &amp; CFlow Items'!$B:$B,0),MATCH(AN286,'Key Balance Sheet &amp; CFlow Items'!$1:$1,0)),"")</f>
        <v>5.1464766429136978E-2</v>
      </c>
      <c r="AO287" s="31">
        <f>IFERROR(INDEX('Key Balance Sheet &amp; CFlow Items'!$A:$AAY,MATCH($AA287,'Key Balance Sheet &amp; CFlow Items'!$B:$B,0),MATCH(AO286,'Key Balance Sheet &amp; CFlow Items'!$1:$1,0)),"")</f>
        <v>6.7206477732793521E-2</v>
      </c>
      <c r="AP287" s="31">
        <f>IFERROR(INDEX('Key Balance Sheet &amp; CFlow Items'!$A:$AAY,MATCH($AA287,'Key Balance Sheet &amp; CFlow Items'!$B:$B,0),MATCH(AP286,'Key Balance Sheet &amp; CFlow Items'!$1:$1,0)),"")</f>
        <v>8.8042588042588049E-2</v>
      </c>
      <c r="AQ287" s="31">
        <f>IFERROR(INDEX('Key Balance Sheet &amp; CFlow Items'!$A:$AAY,MATCH($AA287,'Key Balance Sheet &amp; CFlow Items'!$B:$B,0),MATCH(AQ286,'Key Balance Sheet &amp; CFlow Items'!$1:$1,0)),"")</f>
        <v>0.11013858497447118</v>
      </c>
      <c r="AR287" s="31">
        <f>IFERROR(INDEX('Key Balance Sheet &amp; CFlow Items'!$A:$AAY,MATCH($AA287,'Key Balance Sheet &amp; CFlow Items'!$B:$B,0),MATCH(AR286,'Key Balance Sheet &amp; CFlow Items'!$1:$1,0)),"")</f>
        <v>4.0722243565117174E-2</v>
      </c>
      <c r="AS287" s="31">
        <f>IFERROR(INDEX('Key Balance Sheet &amp; CFlow Items'!$A:$AAY,MATCH($AA287,'Key Balance Sheet &amp; CFlow Items'!$B:$B,0),MATCH(AS286,'Key Balance Sheet &amp; CFlow Items'!$1:$1,0)),"")</f>
        <v>4.4856921887084303E-2</v>
      </c>
      <c r="AT287" s="31">
        <f>IFERROR(INDEX('Key Balance Sheet &amp; CFlow Items'!$A:$AAY,MATCH($AA287,'Key Balance Sheet &amp; CFlow Items'!$B:$B,0),MATCH(AT286,'Key Balance Sheet &amp; CFlow Items'!$1:$1,0)),"")</f>
        <v>5.434782608695652E-2</v>
      </c>
      <c r="AU287" s="31">
        <f>IFERROR(INDEX('Key Balance Sheet &amp; CFlow Items'!$A:$AAY,MATCH($AA287,'Key Balance Sheet &amp; CFlow Items'!$B:$B,0),MATCH(AU286,'Key Balance Sheet &amp; CFlow Items'!$1:$1,0)),"")</f>
        <v>0.11259473114399134</v>
      </c>
    </row>
    <row r="288" spans="1:47" x14ac:dyDescent="0.35">
      <c r="A288" s="6"/>
      <c r="B288" s="6"/>
      <c r="C288" s="6"/>
      <c r="D288" s="6"/>
      <c r="E288" s="6"/>
      <c r="F288" s="6"/>
      <c r="G288" s="6"/>
      <c r="H288" s="6"/>
      <c r="I288" s="6"/>
      <c r="J288" s="6"/>
      <c r="K288" s="6"/>
      <c r="L288" s="6"/>
      <c r="M288" s="6"/>
      <c r="N288" s="6"/>
      <c r="O288" s="6"/>
      <c r="P288" s="6"/>
      <c r="Q288" s="6"/>
      <c r="R288" s="6"/>
      <c r="S288" s="6"/>
      <c r="T288" s="6"/>
      <c r="U288" s="6"/>
      <c r="V288" s="6"/>
      <c r="W288" s="6"/>
    </row>
    <row r="289" spans="1:47" x14ac:dyDescent="0.35">
      <c r="A289" s="6"/>
      <c r="B289" s="6"/>
      <c r="C289" s="6"/>
      <c r="D289" s="6"/>
      <c r="E289" s="6"/>
      <c r="F289" s="6"/>
      <c r="G289" s="6"/>
      <c r="H289" s="6"/>
      <c r="I289" s="6"/>
      <c r="J289" s="6"/>
      <c r="K289" s="6"/>
      <c r="L289" s="6"/>
      <c r="M289" s="6"/>
      <c r="N289" s="6"/>
      <c r="O289" s="6"/>
      <c r="P289" s="6"/>
      <c r="Q289" s="6"/>
      <c r="R289" s="6"/>
      <c r="S289" s="6"/>
      <c r="T289" s="6"/>
      <c r="U289" s="6"/>
      <c r="V289" s="6"/>
      <c r="W289" s="6"/>
    </row>
    <row r="290" spans="1:47" x14ac:dyDescent="0.35">
      <c r="A290" s="6"/>
      <c r="B290" s="6"/>
      <c r="C290" s="6"/>
      <c r="D290" s="6"/>
      <c r="E290" s="6"/>
      <c r="F290" s="6"/>
      <c r="G290" s="6"/>
      <c r="H290" s="6"/>
      <c r="I290" s="6"/>
      <c r="J290" s="6"/>
      <c r="K290" s="6"/>
      <c r="L290" s="6"/>
      <c r="M290" s="6"/>
      <c r="N290" s="6"/>
      <c r="O290" s="6"/>
      <c r="P290" s="6"/>
      <c r="Q290" s="6"/>
      <c r="R290" s="6"/>
      <c r="S290" s="6"/>
      <c r="T290" s="6"/>
      <c r="U290" s="6"/>
      <c r="V290" s="6"/>
      <c r="W290" s="6"/>
    </row>
    <row r="291" spans="1:47" x14ac:dyDescent="0.35">
      <c r="A291" s="6"/>
      <c r="B291" s="6"/>
      <c r="C291" s="6"/>
      <c r="D291" s="6"/>
      <c r="E291" s="6"/>
      <c r="F291" s="6"/>
      <c r="G291" s="6"/>
      <c r="H291" s="6"/>
      <c r="I291" s="6"/>
      <c r="J291" s="6"/>
      <c r="K291" s="6"/>
      <c r="L291" s="6"/>
      <c r="M291" s="6"/>
      <c r="N291" s="6"/>
      <c r="O291" s="6"/>
      <c r="P291" s="6"/>
      <c r="Q291" s="6"/>
      <c r="R291" s="6"/>
      <c r="S291" s="6"/>
      <c r="T291" s="6"/>
      <c r="U291" s="6"/>
      <c r="V291" s="6"/>
      <c r="W291" s="6"/>
      <c r="AB291" s="27">
        <f t="shared" ref="AB291" si="505">AC291-1</f>
        <v>33</v>
      </c>
      <c r="AC291" s="27">
        <f t="shared" ref="AC291" si="506">AD291-1</f>
        <v>34</v>
      </c>
      <c r="AD291" s="27">
        <f t="shared" ref="AD291" si="507">AE291-1</f>
        <v>35</v>
      </c>
      <c r="AE291" s="27">
        <f t="shared" ref="AE291" si="508">AF291-1</f>
        <v>36</v>
      </c>
      <c r="AF291" s="27">
        <f t="shared" ref="AF291" si="509">AG291-1</f>
        <v>37</v>
      </c>
      <c r="AG291" s="27">
        <f t="shared" ref="AG291" si="510">AH291-1</f>
        <v>38</v>
      </c>
      <c r="AH291" s="27">
        <f t="shared" ref="AH291" si="511">AI291-1</f>
        <v>39</v>
      </c>
      <c r="AI291" s="27">
        <f t="shared" ref="AI291" si="512">AJ291-1</f>
        <v>40</v>
      </c>
      <c r="AJ291" s="27">
        <f t="shared" ref="AJ291" si="513">AK291-1</f>
        <v>41</v>
      </c>
      <c r="AK291" s="27">
        <f t="shared" ref="AK291" si="514">AL291-1</f>
        <v>42</v>
      </c>
      <c r="AL291" s="27">
        <f t="shared" ref="AL291" si="515">AM291-1</f>
        <v>43</v>
      </c>
      <c r="AM291" s="27">
        <f t="shared" ref="AM291" si="516">AN291-1</f>
        <v>44</v>
      </c>
      <c r="AN291" s="27">
        <f t="shared" ref="AN291" si="517">AO291-1</f>
        <v>45</v>
      </c>
      <c r="AO291" s="27">
        <f t="shared" ref="AO291" si="518">AP291-1</f>
        <v>46</v>
      </c>
      <c r="AP291" s="27">
        <f t="shared" ref="AP291" si="519">AQ291-1</f>
        <v>47</v>
      </c>
      <c r="AQ291" s="27">
        <f t="shared" ref="AQ291" si="520">AR291-1</f>
        <v>48</v>
      </c>
      <c r="AR291" s="27">
        <f t="shared" ref="AR291" si="521">AS291-1</f>
        <v>49</v>
      </c>
      <c r="AS291" s="27">
        <f t="shared" ref="AS291" si="522">AT291-1</f>
        <v>50</v>
      </c>
      <c r="AT291" s="27">
        <f>AU291-1</f>
        <v>51</v>
      </c>
      <c r="AU291" s="27">
        <f>VLOOKUP(AU292,Dates!$A:$D,2,FALSE)</f>
        <v>52</v>
      </c>
    </row>
    <row r="292" spans="1:47" x14ac:dyDescent="0.35">
      <c r="A292" s="6"/>
      <c r="B292" s="6"/>
      <c r="C292" s="6"/>
      <c r="D292" s="6"/>
      <c r="E292" s="6"/>
      <c r="F292" s="6"/>
      <c r="G292" s="6"/>
      <c r="H292" s="6"/>
      <c r="I292" s="6"/>
      <c r="J292" s="6"/>
      <c r="K292" s="6"/>
      <c r="L292" s="6"/>
      <c r="M292" s="6"/>
      <c r="N292" s="6"/>
      <c r="O292" s="6"/>
      <c r="P292" s="6"/>
      <c r="Q292" s="6"/>
      <c r="R292" s="6"/>
      <c r="S292" s="6"/>
      <c r="T292" s="6"/>
      <c r="U292" s="6"/>
      <c r="V292" s="6"/>
      <c r="W292" s="6"/>
      <c r="AB292" s="27" t="str">
        <f>IFERROR(VLOOKUP(AB291,Dates!$B:$D,3,FALSE),"")</f>
        <v>1Q20</v>
      </c>
      <c r="AC292" s="27" t="str">
        <f>IFERROR(VLOOKUP(AC291,Dates!$B:$D,3,FALSE),"")</f>
        <v>2Q20</v>
      </c>
      <c r="AD292" s="27" t="str">
        <f>IFERROR(VLOOKUP(AD291,Dates!$B:$D,3,FALSE),"")</f>
        <v>3Q20</v>
      </c>
      <c r="AE292" s="27" t="str">
        <f>IFERROR(VLOOKUP(AE291,Dates!$B:$D,3,FALSE),"")</f>
        <v>4Q20</v>
      </c>
      <c r="AF292" s="27" t="str">
        <f>IFERROR(VLOOKUP(AF291,Dates!$B:$D,3,FALSE),"")</f>
        <v>1Q21</v>
      </c>
      <c r="AG292" s="27" t="str">
        <f>IFERROR(VLOOKUP(AG291,Dates!$B:$D,3,FALSE),"")</f>
        <v>2Q21</v>
      </c>
      <c r="AH292" s="27" t="str">
        <f>IFERROR(VLOOKUP(AH291,Dates!$B:$D,3,FALSE),"")</f>
        <v>3Q21</v>
      </c>
      <c r="AI292" s="27" t="str">
        <f>IFERROR(VLOOKUP(AI291,Dates!$B:$D,3,FALSE),"")</f>
        <v>4Q21</v>
      </c>
      <c r="AJ292" s="27" t="str">
        <f>IFERROR(VLOOKUP(AJ291,Dates!$B:$D,3,FALSE),"")</f>
        <v>1Q22</v>
      </c>
      <c r="AK292" s="27" t="str">
        <f>IFERROR(VLOOKUP(AK291,Dates!$B:$D,3,FALSE),"")</f>
        <v>2Q22</v>
      </c>
      <c r="AL292" s="27" t="str">
        <f>IFERROR(VLOOKUP(AL291,Dates!$B:$D,3,FALSE),"")</f>
        <v>3Q22</v>
      </c>
      <c r="AM292" s="27" t="str">
        <f>IFERROR(VLOOKUP(AM291,Dates!$B:$D,3,FALSE),"")</f>
        <v>4Q22</v>
      </c>
      <c r="AN292" s="27" t="str">
        <f>IFERROR(VLOOKUP(AN291,Dates!$B:$D,3,FALSE),"")</f>
        <v>1Q23</v>
      </c>
      <c r="AO292" s="27" t="str">
        <f>IFERROR(VLOOKUP(AO291,Dates!$B:$D,3,FALSE),"")</f>
        <v>2Q23</v>
      </c>
      <c r="AP292" s="27" t="str">
        <f>IFERROR(VLOOKUP(AP291,Dates!$B:$D,3,FALSE),"")</f>
        <v>3Q23</v>
      </c>
      <c r="AQ292" s="27" t="str">
        <f>IFERROR(VLOOKUP(AQ291,Dates!$B:$D,3,FALSE),"")</f>
        <v>4Q23</v>
      </c>
      <c r="AR292" s="27" t="str">
        <f>IFERROR(VLOOKUP(AR291,Dates!$B:$D,3,FALSE),"")</f>
        <v>1Q24</v>
      </c>
      <c r="AS292" s="27" t="str">
        <f>IFERROR(VLOOKUP(AS291,Dates!$B:$D,3,FALSE),"")</f>
        <v>2Q24</v>
      </c>
      <c r="AT292" s="27" t="str">
        <f>IFERROR(VLOOKUP(AT291,Dates!$B:$D,3,FALSE),"")</f>
        <v>3Q24</v>
      </c>
      <c r="AU292" s="28" t="str">
        <f>$G$3</f>
        <v>4Q24</v>
      </c>
    </row>
    <row r="293" spans="1:47" x14ac:dyDescent="0.35">
      <c r="A293" s="6"/>
      <c r="B293" s="6"/>
      <c r="C293" s="6"/>
      <c r="D293" s="6"/>
      <c r="E293" s="6"/>
      <c r="F293" s="6"/>
      <c r="G293" s="6"/>
      <c r="H293" s="6"/>
      <c r="I293" s="6"/>
      <c r="J293" s="6"/>
      <c r="K293" s="6"/>
      <c r="L293" s="6"/>
      <c r="M293" s="6"/>
      <c r="N293" s="6"/>
      <c r="O293" s="6"/>
      <c r="P293" s="6"/>
      <c r="Q293" s="6"/>
      <c r="R293" s="6"/>
      <c r="S293" s="6"/>
      <c r="T293" s="6"/>
      <c r="U293" s="6"/>
      <c r="V293" s="6"/>
      <c r="W293" s="6"/>
      <c r="AA293" s="29" t="str">
        <f>'Key Balance Sheet &amp; CFlow Items'!B5</f>
        <v>Capital Expenditure (accrued)</v>
      </c>
      <c r="AB293" s="32">
        <f>IFERROR(INDEX('Key Balance Sheet &amp; CFlow Items'!$A:$AAY,MATCH($AA293,'Key Balance Sheet &amp; CFlow Items'!$B:$B,0),MATCH(AB292,'Key Balance Sheet &amp; CFlow Items'!$1:$1,0)),"")</f>
        <v>163</v>
      </c>
      <c r="AC293" s="32">
        <f>IFERROR(INDEX('Key Balance Sheet &amp; CFlow Items'!$A:$AAY,MATCH($AA293,'Key Balance Sheet &amp; CFlow Items'!$B:$B,0),MATCH(AC292,'Key Balance Sheet &amp; CFlow Items'!$1:$1,0)),"")</f>
        <v>259</v>
      </c>
      <c r="AD293" s="32">
        <f>IFERROR(INDEX('Key Balance Sheet &amp; CFlow Items'!$A:$AAY,MATCH($AA293,'Key Balance Sheet &amp; CFlow Items'!$B:$B,0),MATCH(AD292,'Key Balance Sheet &amp; CFlow Items'!$1:$1,0)),"")</f>
        <v>319</v>
      </c>
      <c r="AE293" s="32">
        <f>IFERROR(INDEX('Key Balance Sheet &amp; CFlow Items'!$A:$AAY,MATCH($AA293,'Key Balance Sheet &amp; CFlow Items'!$B:$B,0),MATCH(AE292,'Key Balance Sheet &amp; CFlow Items'!$1:$1,0)),"")</f>
        <v>504</v>
      </c>
      <c r="AF293" s="32">
        <f>IFERROR(INDEX('Key Balance Sheet &amp; CFlow Items'!$A:$AAY,MATCH($AA293,'Key Balance Sheet &amp; CFlow Items'!$B:$B,0),MATCH(AF292,'Key Balance Sheet &amp; CFlow Items'!$1:$1,0)),"")</f>
        <v>136</v>
      </c>
      <c r="AG293" s="32">
        <f>IFERROR(INDEX('Key Balance Sheet &amp; CFlow Items'!$A:$AAY,MATCH($AA293,'Key Balance Sheet &amp; CFlow Items'!$B:$B,0),MATCH(AG292,'Key Balance Sheet &amp; CFlow Items'!$1:$1,0)),"")</f>
        <v>180</v>
      </c>
      <c r="AH293" s="32">
        <f>IFERROR(INDEX('Key Balance Sheet &amp; CFlow Items'!$A:$AAY,MATCH($AA293,'Key Balance Sheet &amp; CFlow Items'!$B:$B,0),MATCH(AH292,'Key Balance Sheet &amp; CFlow Items'!$1:$1,0)),"")</f>
        <v>274</v>
      </c>
      <c r="AI293" s="32">
        <f>IFERROR(INDEX('Key Balance Sheet &amp; CFlow Items'!$A:$AAY,MATCH($AA293,'Key Balance Sheet &amp; CFlow Items'!$B:$B,0),MATCH(AI292,'Key Balance Sheet &amp; CFlow Items'!$1:$1,0)),"")</f>
        <v>597</v>
      </c>
      <c r="AJ293" s="32">
        <f>IFERROR(INDEX('Key Balance Sheet &amp; CFlow Items'!$A:$AAY,MATCH($AA293,'Key Balance Sheet &amp; CFlow Items'!$B:$B,0),MATCH(AJ292,'Key Balance Sheet &amp; CFlow Items'!$1:$1,0)),"")</f>
        <v>171</v>
      </c>
      <c r="AK293" s="32">
        <f>IFERROR(INDEX('Key Balance Sheet &amp; CFlow Items'!$A:$AAY,MATCH($AA293,'Key Balance Sheet &amp; CFlow Items'!$B:$B,0),MATCH(AK292,'Key Balance Sheet &amp; CFlow Items'!$1:$1,0)),"")</f>
        <v>241</v>
      </c>
      <c r="AL293" s="32">
        <f>IFERROR(INDEX('Key Balance Sheet &amp; CFlow Items'!$A:$AAY,MATCH($AA293,'Key Balance Sheet &amp; CFlow Items'!$B:$B,0),MATCH(AL292,'Key Balance Sheet &amp; CFlow Items'!$1:$1,0)),"")</f>
        <v>272</v>
      </c>
      <c r="AM293" s="32">
        <f>IFERROR(INDEX('Key Balance Sheet &amp; CFlow Items'!$A:$AAY,MATCH($AA293,'Key Balance Sheet &amp; CFlow Items'!$B:$B,0),MATCH(AM292,'Key Balance Sheet &amp; CFlow Items'!$1:$1,0)),"")</f>
        <v>430</v>
      </c>
      <c r="AN293" s="32">
        <f>IFERROR(INDEX('Key Balance Sheet &amp; CFlow Items'!$A:$AAY,MATCH($AA293,'Key Balance Sheet &amp; CFlow Items'!$B:$B,0),MATCH(AN292,'Key Balance Sheet &amp; CFlow Items'!$1:$1,0)),"")</f>
        <v>130</v>
      </c>
      <c r="AO293" s="32">
        <f>IFERROR(INDEX('Key Balance Sheet &amp; CFlow Items'!$A:$AAY,MATCH($AA293,'Key Balance Sheet &amp; CFlow Items'!$B:$B,0),MATCH(AO292,'Key Balance Sheet &amp; CFlow Items'!$1:$1,0)),"")</f>
        <v>166</v>
      </c>
      <c r="AP293" s="32">
        <f>IFERROR(INDEX('Key Balance Sheet &amp; CFlow Items'!$A:$AAY,MATCH($AA293,'Key Balance Sheet &amp; CFlow Items'!$B:$B,0),MATCH(AP292,'Key Balance Sheet &amp; CFlow Items'!$1:$1,0)),"")</f>
        <v>215</v>
      </c>
      <c r="AQ293" s="32">
        <f>IFERROR(INDEX('Key Balance Sheet &amp; CFlow Items'!$A:$AAY,MATCH($AA293,'Key Balance Sheet &amp; CFlow Items'!$B:$B,0),MATCH(AQ292,'Key Balance Sheet &amp; CFlow Items'!$1:$1,0)),"")</f>
        <v>302</v>
      </c>
      <c r="AR293" s="32">
        <f>IFERROR(INDEX('Key Balance Sheet &amp; CFlow Items'!$A:$AAY,MATCH($AA293,'Key Balance Sheet &amp; CFlow Items'!$B:$B,0),MATCH(AR292,'Key Balance Sheet &amp; CFlow Items'!$1:$1,0)),"")</f>
        <v>106</v>
      </c>
      <c r="AS293" s="32">
        <f>IFERROR(INDEX('Key Balance Sheet &amp; CFlow Items'!$A:$AAY,MATCH($AA293,'Key Balance Sheet &amp; CFlow Items'!$B:$B,0),MATCH(AS292,'Key Balance Sheet &amp; CFlow Items'!$1:$1,0)),"")</f>
        <v>116</v>
      </c>
      <c r="AT293" s="32">
        <f>IFERROR(INDEX('Key Balance Sheet &amp; CFlow Items'!$A:$AAY,MATCH($AA293,'Key Balance Sheet &amp; CFlow Items'!$B:$B,0),MATCH(AT292,'Key Balance Sheet &amp; CFlow Items'!$1:$1,0)),"")</f>
        <v>140</v>
      </c>
      <c r="AU293" s="32">
        <f>IFERROR(INDEX('Key Balance Sheet &amp; CFlow Items'!$A:$AAY,MATCH($AA293,'Key Balance Sheet &amp; CFlow Items'!$B:$B,0),MATCH(AU292,'Key Balance Sheet &amp; CFlow Items'!$1:$1,0)),"")</f>
        <v>312</v>
      </c>
    </row>
    <row r="294" spans="1:47" x14ac:dyDescent="0.35">
      <c r="A294" s="6"/>
      <c r="B294" s="6"/>
      <c r="C294" s="6"/>
      <c r="D294" s="6"/>
      <c r="E294" s="6"/>
      <c r="F294" s="6"/>
      <c r="G294" s="6"/>
      <c r="H294" s="6"/>
      <c r="I294" s="6"/>
      <c r="J294" s="6"/>
      <c r="K294" s="6"/>
      <c r="L294" s="6"/>
      <c r="M294" s="6"/>
      <c r="N294" s="6"/>
      <c r="O294" s="6"/>
      <c r="P294" s="6"/>
      <c r="Q294" s="6"/>
      <c r="R294" s="6"/>
      <c r="S294" s="6"/>
      <c r="T294" s="6"/>
      <c r="U294" s="6"/>
      <c r="V294" s="6"/>
      <c r="W294" s="6"/>
    </row>
    <row r="295" spans="1:47" x14ac:dyDescent="0.35">
      <c r="A295" s="6"/>
      <c r="B295" s="6"/>
      <c r="C295" s="6"/>
      <c r="D295" s="6"/>
      <c r="E295" s="6"/>
      <c r="F295" s="6"/>
      <c r="G295" s="6"/>
      <c r="H295" s="6"/>
      <c r="I295" s="6"/>
      <c r="J295" s="6"/>
      <c r="K295" s="6"/>
      <c r="L295" s="6"/>
      <c r="M295" s="6"/>
      <c r="N295" s="6"/>
      <c r="O295" s="6"/>
      <c r="P295" s="6"/>
      <c r="Q295" s="6"/>
      <c r="R295" s="6"/>
      <c r="S295" s="6"/>
      <c r="T295" s="6"/>
      <c r="U295" s="6"/>
      <c r="V295" s="6"/>
      <c r="W295" s="6"/>
    </row>
    <row r="296" spans="1:47" x14ac:dyDescent="0.35">
      <c r="A296" s="6"/>
      <c r="B296" s="6"/>
      <c r="C296" s="6"/>
      <c r="D296" s="6"/>
      <c r="E296" s="6"/>
      <c r="F296" s="6"/>
      <c r="G296" s="6"/>
      <c r="H296" s="6"/>
      <c r="I296" s="6"/>
      <c r="J296" s="6"/>
      <c r="K296" s="6"/>
      <c r="L296" s="6"/>
      <c r="M296" s="6"/>
      <c r="N296" s="6"/>
      <c r="O296" s="6"/>
      <c r="P296" s="6"/>
      <c r="Q296" s="6"/>
      <c r="R296" s="6"/>
      <c r="S296" s="6"/>
      <c r="T296" s="6"/>
      <c r="U296" s="6"/>
      <c r="V296" s="6"/>
      <c r="W296" s="6"/>
    </row>
    <row r="297" spans="1:47" x14ac:dyDescent="0.35">
      <c r="A297" s="6"/>
      <c r="B297" s="6"/>
      <c r="C297" s="6"/>
      <c r="D297" s="6"/>
      <c r="E297" s="6"/>
      <c r="F297" s="6"/>
      <c r="G297" s="6"/>
      <c r="H297" s="6"/>
      <c r="I297" s="6"/>
      <c r="J297" s="6"/>
      <c r="K297" s="6"/>
      <c r="L297" s="6"/>
      <c r="M297" s="6"/>
      <c r="N297" s="6"/>
      <c r="O297" s="6"/>
      <c r="P297" s="6"/>
      <c r="Q297" s="6"/>
      <c r="R297" s="6"/>
      <c r="S297" s="6"/>
      <c r="T297" s="6"/>
      <c r="U297" s="6"/>
      <c r="V297" s="6"/>
      <c r="W297" s="6"/>
    </row>
    <row r="298" spans="1:47" x14ac:dyDescent="0.35">
      <c r="A298" s="1" t="s">
        <v>33</v>
      </c>
      <c r="B298" s="1" t="s">
        <v>103</v>
      </c>
      <c r="C298" s="1"/>
      <c r="D298" s="1"/>
      <c r="E298" s="1"/>
      <c r="F298" s="1"/>
      <c r="G298" s="1"/>
      <c r="H298" s="1"/>
      <c r="I298" s="1"/>
      <c r="J298" s="1"/>
      <c r="K298" s="1" t="s">
        <v>32</v>
      </c>
      <c r="L298" s="1" t="s">
        <v>104</v>
      </c>
      <c r="M298" s="1"/>
      <c r="N298" s="1"/>
      <c r="O298" s="1"/>
      <c r="P298" s="1"/>
      <c r="Q298" s="1"/>
      <c r="R298" s="1"/>
      <c r="S298" s="1"/>
      <c r="T298" s="1"/>
      <c r="U298" s="6"/>
      <c r="V298" s="6"/>
      <c r="W298" s="6"/>
    </row>
    <row r="299" spans="1:47" x14ac:dyDescent="0.35">
      <c r="A299" s="6"/>
      <c r="B299" s="6"/>
      <c r="C299" s="6"/>
      <c r="D299" s="6"/>
      <c r="E299" s="6"/>
      <c r="F299" s="6"/>
      <c r="G299" s="6"/>
      <c r="H299" s="6"/>
      <c r="I299" s="6"/>
      <c r="J299" s="6"/>
      <c r="K299" s="6"/>
      <c r="L299" s="6"/>
      <c r="M299" s="6"/>
      <c r="N299" s="6"/>
      <c r="O299" s="6"/>
      <c r="P299" s="6"/>
      <c r="Q299" s="6"/>
      <c r="R299" s="6"/>
      <c r="S299" s="6"/>
      <c r="T299" s="6"/>
      <c r="U299" s="6"/>
      <c r="V299" s="6"/>
      <c r="W299" s="6"/>
    </row>
    <row r="300" spans="1:47" x14ac:dyDescent="0.35">
      <c r="A300" s="6"/>
      <c r="B300" s="6"/>
      <c r="C300" s="6"/>
      <c r="D300" s="6"/>
      <c r="E300" s="6"/>
      <c r="F300" s="6"/>
      <c r="G300" s="6"/>
      <c r="H300" s="6"/>
      <c r="I300" s="6"/>
      <c r="J300" s="6"/>
      <c r="K300" s="6"/>
      <c r="L300" s="6"/>
      <c r="M300" s="6"/>
      <c r="N300" s="6"/>
      <c r="O300" s="6"/>
      <c r="P300" s="6"/>
      <c r="Q300" s="6"/>
      <c r="R300" s="6"/>
      <c r="S300" s="6"/>
      <c r="T300" s="6"/>
      <c r="U300" s="6"/>
      <c r="V300" s="6"/>
      <c r="W300" s="6"/>
    </row>
    <row r="301" spans="1:47" x14ac:dyDescent="0.35">
      <c r="A301" s="6"/>
      <c r="B301" s="6"/>
      <c r="C301" s="6"/>
      <c r="D301" s="6"/>
      <c r="E301" s="6"/>
      <c r="F301" s="6"/>
      <c r="G301" s="6"/>
      <c r="H301" s="6"/>
      <c r="I301" s="6"/>
      <c r="J301" s="6"/>
      <c r="K301" s="6"/>
      <c r="L301" s="6"/>
      <c r="M301" s="6"/>
      <c r="N301" s="6"/>
      <c r="O301" s="6"/>
      <c r="P301" s="6"/>
      <c r="Q301" s="6"/>
      <c r="R301" s="6"/>
      <c r="S301" s="6"/>
      <c r="T301" s="6"/>
      <c r="U301" s="6"/>
      <c r="V301" s="6"/>
      <c r="W301" s="6"/>
    </row>
    <row r="302" spans="1:47" x14ac:dyDescent="0.35">
      <c r="A302" s="6"/>
      <c r="B302" s="6"/>
      <c r="C302" s="6"/>
      <c r="D302" s="6"/>
      <c r="E302" s="6"/>
      <c r="F302" s="6"/>
      <c r="G302" s="6"/>
      <c r="H302" s="6"/>
      <c r="I302" s="6"/>
      <c r="J302" s="6"/>
      <c r="K302" s="6"/>
      <c r="L302" s="6"/>
      <c r="M302" s="6"/>
      <c r="N302" s="6"/>
      <c r="O302" s="6"/>
      <c r="P302" s="6"/>
      <c r="Q302" s="6"/>
      <c r="R302" s="6"/>
      <c r="S302" s="6"/>
      <c r="T302" s="6"/>
      <c r="U302" s="6"/>
      <c r="V302" s="6"/>
      <c r="W302" s="6"/>
      <c r="AB302" s="27">
        <f t="shared" ref="AB302" si="523">AC302-1</f>
        <v>33</v>
      </c>
      <c r="AC302" s="27">
        <f t="shared" ref="AC302" si="524">AD302-1</f>
        <v>34</v>
      </c>
      <c r="AD302" s="27">
        <f t="shared" ref="AD302" si="525">AE302-1</f>
        <v>35</v>
      </c>
      <c r="AE302" s="27">
        <f t="shared" ref="AE302" si="526">AF302-1</f>
        <v>36</v>
      </c>
      <c r="AF302" s="27">
        <f t="shared" ref="AF302" si="527">AG302-1</f>
        <v>37</v>
      </c>
      <c r="AG302" s="27">
        <f t="shared" ref="AG302" si="528">AH302-1</f>
        <v>38</v>
      </c>
      <c r="AH302" s="27">
        <f t="shared" ref="AH302" si="529">AI302-1</f>
        <v>39</v>
      </c>
      <c r="AI302" s="27">
        <f t="shared" ref="AI302" si="530">AJ302-1</f>
        <v>40</v>
      </c>
      <c r="AJ302" s="27">
        <f t="shared" ref="AJ302" si="531">AK302-1</f>
        <v>41</v>
      </c>
      <c r="AK302" s="27">
        <f t="shared" ref="AK302" si="532">AL302-1</f>
        <v>42</v>
      </c>
      <c r="AL302" s="27">
        <f t="shared" ref="AL302" si="533">AM302-1</f>
        <v>43</v>
      </c>
      <c r="AM302" s="27">
        <f t="shared" ref="AM302" si="534">AN302-1</f>
        <v>44</v>
      </c>
      <c r="AN302" s="27">
        <f t="shared" ref="AN302" si="535">AO302-1</f>
        <v>45</v>
      </c>
      <c r="AO302" s="27">
        <f t="shared" ref="AO302" si="536">AP302-1</f>
        <v>46</v>
      </c>
      <c r="AP302" s="27">
        <f t="shared" ref="AP302" si="537">AQ302-1</f>
        <v>47</v>
      </c>
      <c r="AQ302" s="27">
        <f t="shared" ref="AQ302" si="538">AR302-1</f>
        <v>48</v>
      </c>
      <c r="AR302" s="27">
        <f t="shared" ref="AR302" si="539">AS302-1</f>
        <v>49</v>
      </c>
      <c r="AS302" s="27">
        <f t="shared" ref="AS302" si="540">AT302-1</f>
        <v>50</v>
      </c>
      <c r="AT302" s="27">
        <f>AU302-1</f>
        <v>51</v>
      </c>
      <c r="AU302" s="27">
        <f>VLOOKUP(AU303,Dates!$A:$D,2,FALSE)</f>
        <v>52</v>
      </c>
    </row>
    <row r="303" spans="1:47" x14ac:dyDescent="0.35">
      <c r="A303" s="6"/>
      <c r="B303" s="6"/>
      <c r="C303" s="6"/>
      <c r="D303" s="6"/>
      <c r="E303" s="6"/>
      <c r="F303" s="6"/>
      <c r="G303" s="6"/>
      <c r="H303" s="6"/>
      <c r="I303" s="6"/>
      <c r="J303" s="6"/>
      <c r="K303" s="6"/>
      <c r="L303" s="6"/>
      <c r="M303" s="6"/>
      <c r="N303" s="6"/>
      <c r="O303" s="6"/>
      <c r="P303" s="6"/>
      <c r="Q303" s="6"/>
      <c r="R303" s="6"/>
      <c r="S303" s="6"/>
      <c r="T303" s="6"/>
      <c r="U303" s="6"/>
      <c r="V303" s="6"/>
      <c r="W303" s="6"/>
      <c r="AB303" s="27" t="str">
        <f>IFERROR(VLOOKUP(AB302,Dates!$B:$D,3,FALSE),"")</f>
        <v>1Q20</v>
      </c>
      <c r="AC303" s="27" t="str">
        <f>IFERROR(VLOOKUP(AC302,Dates!$B:$D,3,FALSE),"")</f>
        <v>2Q20</v>
      </c>
      <c r="AD303" s="27" t="str">
        <f>IFERROR(VLOOKUP(AD302,Dates!$B:$D,3,FALSE),"")</f>
        <v>3Q20</v>
      </c>
      <c r="AE303" s="27" t="str">
        <f>IFERROR(VLOOKUP(AE302,Dates!$B:$D,3,FALSE),"")</f>
        <v>4Q20</v>
      </c>
      <c r="AF303" s="27" t="str">
        <f>IFERROR(VLOOKUP(AF302,Dates!$B:$D,3,FALSE),"")</f>
        <v>1Q21</v>
      </c>
      <c r="AG303" s="27" t="str">
        <f>IFERROR(VLOOKUP(AG302,Dates!$B:$D,3,FALSE),"")</f>
        <v>2Q21</v>
      </c>
      <c r="AH303" s="27" t="str">
        <f>IFERROR(VLOOKUP(AH302,Dates!$B:$D,3,FALSE),"")</f>
        <v>3Q21</v>
      </c>
      <c r="AI303" s="27" t="str">
        <f>IFERROR(VLOOKUP(AI302,Dates!$B:$D,3,FALSE),"")</f>
        <v>4Q21</v>
      </c>
      <c r="AJ303" s="27" t="str">
        <f>IFERROR(VLOOKUP(AJ302,Dates!$B:$D,3,FALSE),"")</f>
        <v>1Q22</v>
      </c>
      <c r="AK303" s="27" t="str">
        <f>IFERROR(VLOOKUP(AK302,Dates!$B:$D,3,FALSE),"")</f>
        <v>2Q22</v>
      </c>
      <c r="AL303" s="27" t="str">
        <f>IFERROR(VLOOKUP(AL302,Dates!$B:$D,3,FALSE),"")</f>
        <v>3Q22</v>
      </c>
      <c r="AM303" s="27" t="str">
        <f>IFERROR(VLOOKUP(AM302,Dates!$B:$D,3,FALSE),"")</f>
        <v>4Q22</v>
      </c>
      <c r="AN303" s="27" t="str">
        <f>IFERROR(VLOOKUP(AN302,Dates!$B:$D,3,FALSE),"")</f>
        <v>1Q23</v>
      </c>
      <c r="AO303" s="27" t="str">
        <f>IFERROR(VLOOKUP(AO302,Dates!$B:$D,3,FALSE),"")</f>
        <v>2Q23</v>
      </c>
      <c r="AP303" s="27" t="str">
        <f>IFERROR(VLOOKUP(AP302,Dates!$B:$D,3,FALSE),"")</f>
        <v>3Q23</v>
      </c>
      <c r="AQ303" s="27" t="str">
        <f>IFERROR(VLOOKUP(AQ302,Dates!$B:$D,3,FALSE),"")</f>
        <v>4Q23</v>
      </c>
      <c r="AR303" s="27" t="str">
        <f>IFERROR(VLOOKUP(AR302,Dates!$B:$D,3,FALSE),"")</f>
        <v>1Q24</v>
      </c>
      <c r="AS303" s="27" t="str">
        <f>IFERROR(VLOOKUP(AS302,Dates!$B:$D,3,FALSE),"")</f>
        <v>2Q24</v>
      </c>
      <c r="AT303" s="27" t="str">
        <f>IFERROR(VLOOKUP(AT302,Dates!$B:$D,3,FALSE),"")</f>
        <v>3Q24</v>
      </c>
      <c r="AU303" s="28" t="str">
        <f>$G$3</f>
        <v>4Q24</v>
      </c>
    </row>
    <row r="304" spans="1:47" x14ac:dyDescent="0.35">
      <c r="A304" s="6"/>
      <c r="B304" s="6"/>
      <c r="C304" s="6"/>
      <c r="D304" s="6"/>
      <c r="E304" s="6"/>
      <c r="F304" s="6"/>
      <c r="G304" s="6"/>
      <c r="H304" s="6"/>
      <c r="I304" s="6"/>
      <c r="J304" s="6"/>
      <c r="K304" s="6"/>
      <c r="L304" s="6"/>
      <c r="M304" s="6"/>
      <c r="N304" s="6"/>
      <c r="O304" s="6"/>
      <c r="P304" s="6"/>
      <c r="Q304" s="6"/>
      <c r="R304" s="6"/>
      <c r="S304" s="6"/>
      <c r="T304" s="6"/>
      <c r="U304" s="6"/>
      <c r="V304" s="6"/>
      <c r="W304" s="6"/>
      <c r="AA304" s="29" t="str">
        <f>'Key Balance Sheet &amp; CFlow Items'!B29</f>
        <v>OpFCF</v>
      </c>
      <c r="AB304" s="32">
        <f>IFERROR(INDEX('Key Balance Sheet &amp; CFlow Items'!$A:$AAY,MATCH($AA304,'Key Balance Sheet &amp; CFlow Items'!$B:$B,0),MATCH(AB303,'Key Balance Sheet &amp; CFlow Items'!$1:$1,0)),"")</f>
        <v>799</v>
      </c>
      <c r="AC304" s="32">
        <f>IFERROR(INDEX('Key Balance Sheet &amp; CFlow Items'!$A:$AAY,MATCH($AA304,'Key Balance Sheet &amp; CFlow Items'!$B:$B,0),MATCH(AC303,'Key Balance Sheet &amp; CFlow Items'!$1:$1,0)),"")</f>
        <v>687</v>
      </c>
      <c r="AD304" s="32">
        <f>IFERROR(INDEX('Key Balance Sheet &amp; CFlow Items'!$A:$AAY,MATCH($AA304,'Key Balance Sheet &amp; CFlow Items'!$B:$B,0),MATCH(AD303,'Key Balance Sheet &amp; CFlow Items'!$1:$1,0)),"")</f>
        <v>648</v>
      </c>
      <c r="AE304" s="32">
        <f>IFERROR(INDEX('Key Balance Sheet &amp; CFlow Items'!$A:$AAY,MATCH($AA304,'Key Balance Sheet &amp; CFlow Items'!$B:$B,0),MATCH(AE303,'Key Balance Sheet &amp; CFlow Items'!$1:$1,0)),"")</f>
        <v>435</v>
      </c>
      <c r="AF304" s="32">
        <f>IFERROR(INDEX('Key Balance Sheet &amp; CFlow Items'!$A:$AAY,MATCH($AA304,'Key Balance Sheet &amp; CFlow Items'!$B:$B,0),MATCH(AF303,'Key Balance Sheet &amp; CFlow Items'!$1:$1,0)),"")</f>
        <v>825</v>
      </c>
      <c r="AG304" s="32">
        <f>IFERROR(INDEX('Key Balance Sheet &amp; CFlow Items'!$A:$AAY,MATCH($AA304,'Key Balance Sheet &amp; CFlow Items'!$B:$B,0),MATCH(AG303,'Key Balance Sheet &amp; CFlow Items'!$1:$1,0)),"")</f>
        <v>826</v>
      </c>
      <c r="AH304" s="32">
        <f>IFERROR(INDEX('Key Balance Sheet &amp; CFlow Items'!$A:$AAY,MATCH($AA304,'Key Balance Sheet &amp; CFlow Items'!$B:$B,0),MATCH(AH303,'Key Balance Sheet &amp; CFlow Items'!$1:$1,0)),"")</f>
        <v>703</v>
      </c>
      <c r="AI304" s="32">
        <f>IFERROR(INDEX('Key Balance Sheet &amp; CFlow Items'!$A:$AAY,MATCH($AA304,'Key Balance Sheet &amp; CFlow Items'!$B:$B,0),MATCH(AI303,'Key Balance Sheet &amp; CFlow Items'!$1:$1,0)),"")</f>
        <v>335</v>
      </c>
      <c r="AJ304" s="32">
        <f>IFERROR(INDEX('Key Balance Sheet &amp; CFlow Items'!$A:$AAY,MATCH($AA304,'Key Balance Sheet &amp; CFlow Items'!$B:$B,0),MATCH(AJ303,'Key Balance Sheet &amp; CFlow Items'!$1:$1,0)),"")</f>
        <v>756</v>
      </c>
      <c r="AK304" s="32">
        <f>IFERROR(INDEX('Key Balance Sheet &amp; CFlow Items'!$A:$AAY,MATCH($AA304,'Key Balance Sheet &amp; CFlow Items'!$B:$B,0),MATCH(AK303,'Key Balance Sheet &amp; CFlow Items'!$1:$1,0)),"")</f>
        <v>771</v>
      </c>
      <c r="AL304" s="32">
        <f>IFERROR(INDEX('Key Balance Sheet &amp; CFlow Items'!$A:$AAY,MATCH($AA304,'Key Balance Sheet &amp; CFlow Items'!$B:$B,0),MATCH(AL303,'Key Balance Sheet &amp; CFlow Items'!$1:$1,0)),"")</f>
        <v>732</v>
      </c>
      <c r="AM304" s="32">
        <f>IFERROR(INDEX('Key Balance Sheet &amp; CFlow Items'!$A:$AAY,MATCH($AA304,'Key Balance Sheet &amp; CFlow Items'!$B:$B,0),MATCH(AM303,'Key Balance Sheet &amp; CFlow Items'!$1:$1,0)),"")</f>
        <v>556</v>
      </c>
      <c r="AN304" s="32">
        <f>IFERROR(INDEX('Key Balance Sheet &amp; CFlow Items'!$A:$AAY,MATCH($AA304,'Key Balance Sheet &amp; CFlow Items'!$B:$B,0),MATCH(AN303,'Key Balance Sheet &amp; CFlow Items'!$1:$1,0)),"")</f>
        <v>842</v>
      </c>
      <c r="AO304" s="32">
        <f>IFERROR(INDEX('Key Balance Sheet &amp; CFlow Items'!$A:$AAY,MATCH($AA304,'Key Balance Sheet &amp; CFlow Items'!$B:$B,0),MATCH(AO303,'Key Balance Sheet &amp; CFlow Items'!$1:$1,0)),"")</f>
        <v>836</v>
      </c>
      <c r="AP304" s="32">
        <f>IFERROR(INDEX('Key Balance Sheet &amp; CFlow Items'!$A:$AAY,MATCH($AA304,'Key Balance Sheet &amp; CFlow Items'!$B:$B,0),MATCH(AP303,'Key Balance Sheet &amp; CFlow Items'!$1:$1,0)),"")</f>
        <v>714</v>
      </c>
      <c r="AQ304" s="32">
        <f>IFERROR(INDEX('Key Balance Sheet &amp; CFlow Items'!$A:$AAY,MATCH($AA304,'Key Balance Sheet &amp; CFlow Items'!$B:$B,0),MATCH(AQ303,'Key Balance Sheet &amp; CFlow Items'!$1:$1,0)),"")</f>
        <v>755</v>
      </c>
      <c r="AR304" s="32">
        <f>IFERROR(INDEX('Key Balance Sheet &amp; CFlow Items'!$A:$AAY,MATCH($AA304,'Key Balance Sheet &amp; CFlow Items'!$B:$B,0),MATCH(AR303,'Key Balance Sheet &amp; CFlow Items'!$1:$1,0)),"")</f>
        <v>938</v>
      </c>
      <c r="AS304" s="32">
        <f>IFERROR(INDEX('Key Balance Sheet &amp; CFlow Items'!$A:$AAY,MATCH($AA304,'Key Balance Sheet &amp; CFlow Items'!$B:$B,0),MATCH(AS303,'Key Balance Sheet &amp; CFlow Items'!$1:$1,0)),"")</f>
        <v>930</v>
      </c>
      <c r="AT304" s="32">
        <f>IFERROR(INDEX('Key Balance Sheet &amp; CFlow Items'!$A:$AAY,MATCH($AA304,'Key Balance Sheet &amp; CFlow Items'!$B:$B,0),MATCH(AT303,'Key Balance Sheet &amp; CFlow Items'!$1:$1,0)),"")</f>
        <v>908</v>
      </c>
      <c r="AU304" s="32">
        <f>IFERROR(INDEX('Key Balance Sheet &amp; CFlow Items'!$A:$AAY,MATCH($AA304,'Key Balance Sheet &amp; CFlow Items'!$B:$B,0),MATCH(AU303,'Key Balance Sheet &amp; CFlow Items'!$1:$1,0)),"")</f>
        <v>672</v>
      </c>
    </row>
    <row r="305" spans="1:47" ht="17.25" customHeight="1" x14ac:dyDescent="0.35">
      <c r="A305" s="6"/>
      <c r="B305" s="6"/>
      <c r="C305" s="6"/>
      <c r="D305" s="6"/>
      <c r="E305" s="6"/>
      <c r="F305" s="6"/>
      <c r="G305" s="6"/>
      <c r="H305" s="6"/>
      <c r="I305" s="6"/>
      <c r="J305" s="6"/>
      <c r="K305" s="6"/>
      <c r="L305" s="6"/>
      <c r="M305" s="6"/>
      <c r="N305" s="6"/>
      <c r="O305" s="6"/>
      <c r="P305" s="6"/>
      <c r="Q305" s="6"/>
      <c r="R305" s="6"/>
      <c r="S305" s="6"/>
      <c r="T305" s="6"/>
      <c r="U305" s="6"/>
      <c r="V305" s="6"/>
      <c r="W305" s="6"/>
    </row>
    <row r="306" spans="1:47" ht="17.25" customHeight="1" x14ac:dyDescent="0.35">
      <c r="A306" s="6"/>
      <c r="B306" s="6"/>
      <c r="C306" s="6"/>
      <c r="D306" s="6"/>
      <c r="E306" s="6"/>
      <c r="F306" s="6"/>
      <c r="G306" s="6"/>
      <c r="H306" s="6"/>
      <c r="I306" s="6"/>
      <c r="J306" s="6"/>
      <c r="K306" s="6"/>
      <c r="L306" s="6"/>
      <c r="M306" s="6"/>
      <c r="N306" s="6"/>
      <c r="O306" s="6"/>
      <c r="P306" s="6"/>
      <c r="Q306" s="6"/>
      <c r="R306" s="6"/>
      <c r="S306" s="6"/>
      <c r="T306" s="6"/>
      <c r="U306" s="6"/>
      <c r="V306" s="6"/>
      <c r="W306" s="6"/>
    </row>
    <row r="307" spans="1:47" x14ac:dyDescent="0.35">
      <c r="A307" s="6"/>
      <c r="B307" s="6"/>
      <c r="C307" s="6"/>
      <c r="D307" s="6"/>
      <c r="E307" s="6"/>
      <c r="F307" s="6"/>
      <c r="G307" s="6"/>
      <c r="H307" s="6"/>
      <c r="I307" s="6"/>
      <c r="J307" s="6"/>
      <c r="K307" s="6"/>
      <c r="L307" s="6"/>
      <c r="M307" s="6"/>
      <c r="N307" s="6"/>
      <c r="O307" s="6"/>
      <c r="P307" s="6"/>
      <c r="Q307" s="6"/>
      <c r="R307" s="6"/>
      <c r="S307" s="6"/>
      <c r="T307" s="6"/>
      <c r="U307" s="6"/>
      <c r="V307" s="6"/>
      <c r="W307" s="6"/>
      <c r="AB307" s="27">
        <f t="shared" ref="AB307" si="541">AC307-1</f>
        <v>33</v>
      </c>
      <c r="AC307" s="27">
        <f t="shared" ref="AC307" si="542">AD307-1</f>
        <v>34</v>
      </c>
      <c r="AD307" s="27">
        <f t="shared" ref="AD307" si="543">AE307-1</f>
        <v>35</v>
      </c>
      <c r="AE307" s="27">
        <f t="shared" ref="AE307" si="544">AF307-1</f>
        <v>36</v>
      </c>
      <c r="AF307" s="27">
        <f t="shared" ref="AF307" si="545">AG307-1</f>
        <v>37</v>
      </c>
      <c r="AG307" s="27">
        <f t="shared" ref="AG307" si="546">AH307-1</f>
        <v>38</v>
      </c>
      <c r="AH307" s="27">
        <f t="shared" ref="AH307" si="547">AI307-1</f>
        <v>39</v>
      </c>
      <c r="AI307" s="27">
        <f t="shared" ref="AI307" si="548">AJ307-1</f>
        <v>40</v>
      </c>
      <c r="AJ307" s="27">
        <f t="shared" ref="AJ307" si="549">AK307-1</f>
        <v>41</v>
      </c>
      <c r="AK307" s="27">
        <f t="shared" ref="AK307" si="550">AL307-1</f>
        <v>42</v>
      </c>
      <c r="AL307" s="27">
        <f t="shared" ref="AL307" si="551">AM307-1</f>
        <v>43</v>
      </c>
      <c r="AM307" s="27">
        <f t="shared" ref="AM307" si="552">AN307-1</f>
        <v>44</v>
      </c>
      <c r="AN307" s="27">
        <f t="shared" ref="AN307" si="553">AO307-1</f>
        <v>45</v>
      </c>
      <c r="AO307" s="27">
        <f t="shared" ref="AO307" si="554">AP307-1</f>
        <v>46</v>
      </c>
      <c r="AP307" s="27">
        <f t="shared" ref="AP307" si="555">AQ307-1</f>
        <v>47</v>
      </c>
      <c r="AQ307" s="27">
        <f t="shared" ref="AQ307" si="556">AR307-1</f>
        <v>48</v>
      </c>
      <c r="AR307" s="27">
        <f t="shared" ref="AR307" si="557">AS307-1</f>
        <v>49</v>
      </c>
      <c r="AS307" s="27">
        <f t="shared" ref="AS307" si="558">AT307-1</f>
        <v>50</v>
      </c>
      <c r="AT307" s="27">
        <f>AU307-1</f>
        <v>51</v>
      </c>
      <c r="AU307" s="27">
        <f>VLOOKUP(AU308,Dates!$A:$D,2,FALSE)</f>
        <v>52</v>
      </c>
    </row>
    <row r="308" spans="1:47" x14ac:dyDescent="0.35">
      <c r="A308" s="6"/>
      <c r="B308" s="6"/>
      <c r="C308" s="6"/>
      <c r="D308" s="6"/>
      <c r="E308" s="6"/>
      <c r="F308" s="6"/>
      <c r="G308" s="6"/>
      <c r="H308" s="6"/>
      <c r="I308" s="6"/>
      <c r="J308" s="6"/>
      <c r="K308" s="6"/>
      <c r="L308" s="6"/>
      <c r="M308" s="6"/>
      <c r="N308" s="6"/>
      <c r="O308" s="6"/>
      <c r="P308" s="6"/>
      <c r="Q308" s="6"/>
      <c r="R308" s="6"/>
      <c r="S308" s="6"/>
      <c r="T308" s="6"/>
      <c r="U308" s="6"/>
      <c r="V308" s="6"/>
      <c r="W308" s="6"/>
      <c r="AB308" s="27" t="str">
        <f>IFERROR(VLOOKUP(AB307,Dates!$B:$D,3,FALSE),"")</f>
        <v>1Q20</v>
      </c>
      <c r="AC308" s="27" t="str">
        <f>IFERROR(VLOOKUP(AC307,Dates!$B:$D,3,FALSE),"")</f>
        <v>2Q20</v>
      </c>
      <c r="AD308" s="27" t="str">
        <f>IFERROR(VLOOKUP(AD307,Dates!$B:$D,3,FALSE),"")</f>
        <v>3Q20</v>
      </c>
      <c r="AE308" s="27" t="str">
        <f>IFERROR(VLOOKUP(AE307,Dates!$B:$D,3,FALSE),"")</f>
        <v>4Q20</v>
      </c>
      <c r="AF308" s="27" t="str">
        <f>IFERROR(VLOOKUP(AF307,Dates!$B:$D,3,FALSE),"")</f>
        <v>1Q21</v>
      </c>
      <c r="AG308" s="27" t="str">
        <f>IFERROR(VLOOKUP(AG307,Dates!$B:$D,3,FALSE),"")</f>
        <v>2Q21</v>
      </c>
      <c r="AH308" s="27" t="str">
        <f>IFERROR(VLOOKUP(AH307,Dates!$B:$D,3,FALSE),"")</f>
        <v>3Q21</v>
      </c>
      <c r="AI308" s="27" t="str">
        <f>IFERROR(VLOOKUP(AI307,Dates!$B:$D,3,FALSE),"")</f>
        <v>4Q21</v>
      </c>
      <c r="AJ308" s="27" t="str">
        <f>IFERROR(VLOOKUP(AJ307,Dates!$B:$D,3,FALSE),"")</f>
        <v>1Q22</v>
      </c>
      <c r="AK308" s="27" t="str">
        <f>IFERROR(VLOOKUP(AK307,Dates!$B:$D,3,FALSE),"")</f>
        <v>2Q22</v>
      </c>
      <c r="AL308" s="27" t="str">
        <f>IFERROR(VLOOKUP(AL307,Dates!$B:$D,3,FALSE),"")</f>
        <v>3Q22</v>
      </c>
      <c r="AM308" s="27" t="str">
        <f>IFERROR(VLOOKUP(AM307,Dates!$B:$D,3,FALSE),"")</f>
        <v>4Q22</v>
      </c>
      <c r="AN308" s="27" t="str">
        <f>IFERROR(VLOOKUP(AN307,Dates!$B:$D,3,FALSE),"")</f>
        <v>1Q23</v>
      </c>
      <c r="AO308" s="27" t="str">
        <f>IFERROR(VLOOKUP(AO307,Dates!$B:$D,3,FALSE),"")</f>
        <v>2Q23</v>
      </c>
      <c r="AP308" s="27" t="str">
        <f>IFERROR(VLOOKUP(AP307,Dates!$B:$D,3,FALSE),"")</f>
        <v>3Q23</v>
      </c>
      <c r="AQ308" s="27" t="str">
        <f>IFERROR(VLOOKUP(AQ307,Dates!$B:$D,3,FALSE),"")</f>
        <v>4Q23</v>
      </c>
      <c r="AR308" s="27" t="str">
        <f>IFERROR(VLOOKUP(AR307,Dates!$B:$D,3,FALSE),"")</f>
        <v>1Q24</v>
      </c>
      <c r="AS308" s="27" t="str">
        <f>IFERROR(VLOOKUP(AS307,Dates!$B:$D,3,FALSE),"")</f>
        <v>2Q24</v>
      </c>
      <c r="AT308" s="27" t="str">
        <f>IFERROR(VLOOKUP(AT307,Dates!$B:$D,3,FALSE),"")</f>
        <v>3Q24</v>
      </c>
      <c r="AU308" s="28" t="str">
        <f>$G$3</f>
        <v>4Q24</v>
      </c>
    </row>
    <row r="309" spans="1:47" x14ac:dyDescent="0.35">
      <c r="A309" s="6"/>
      <c r="B309" s="6"/>
      <c r="C309" s="6"/>
      <c r="D309" s="6"/>
      <c r="E309" s="6"/>
      <c r="F309" s="6"/>
      <c r="G309" s="6"/>
      <c r="H309" s="6"/>
      <c r="I309" s="6"/>
      <c r="J309" s="6"/>
      <c r="K309" s="6"/>
      <c r="L309" s="6"/>
      <c r="M309" s="6"/>
      <c r="N309" s="6"/>
      <c r="O309" s="6"/>
      <c r="P309" s="6"/>
      <c r="Q309" s="6"/>
      <c r="R309" s="6"/>
      <c r="S309" s="6"/>
      <c r="T309" s="6"/>
      <c r="U309" s="6"/>
      <c r="V309" s="6"/>
      <c r="W309" s="6"/>
      <c r="AA309" s="29" t="str">
        <f>'Key Balance Sheet &amp; CFlow Items'!B30</f>
        <v>OpFCF margin (%)</v>
      </c>
      <c r="AB309" s="31">
        <f>IFERROR(INDEX('Key Balance Sheet &amp; CFlow Items'!$A:$AAY,MATCH($AA309,'Key Balance Sheet &amp; CFlow Items'!$B:$B,0),MATCH(AB308,'Key Balance Sheet &amp; CFlow Items'!$1:$1,0)),"")</f>
        <v>0.34130713370354548</v>
      </c>
      <c r="AC309" s="31">
        <f>IFERROR(INDEX('Key Balance Sheet &amp; CFlow Items'!$A:$AAY,MATCH($AA309,'Key Balance Sheet &amp; CFlow Items'!$B:$B,0),MATCH(AC308,'Key Balance Sheet &amp; CFlow Items'!$1:$1,0)),"")</f>
        <v>0.31938633193863319</v>
      </c>
      <c r="AD309" s="31">
        <f>IFERROR(INDEX('Key Balance Sheet &amp; CFlow Items'!$A:$AAY,MATCH($AA309,'Key Balance Sheet &amp; CFlow Items'!$B:$B,0),MATCH(AD308,'Key Balance Sheet &amp; CFlow Items'!$1:$1,0)),"")</f>
        <v>0.29281518300948939</v>
      </c>
      <c r="AE309" s="31">
        <f>IFERROR(INDEX('Key Balance Sheet &amp; CFlow Items'!$A:$AAY,MATCH($AA309,'Key Balance Sheet &amp; CFlow Items'!$B:$B,0),MATCH(AE308,'Key Balance Sheet &amp; CFlow Items'!$1:$1,0)),"")</f>
        <v>0.19239274657231314</v>
      </c>
      <c r="AF309" s="31">
        <f>IFERROR(INDEX('Key Balance Sheet &amp; CFlow Items'!$A:$AAY,MATCH($AA309,'Key Balance Sheet &amp; CFlow Items'!$B:$B,0),MATCH(AF308,'Key Balance Sheet &amp; CFlow Items'!$1:$1,0)),"")</f>
        <v>0.36830357142857145</v>
      </c>
      <c r="AG309" s="31">
        <f>IFERROR(INDEX('Key Balance Sheet &amp; CFlow Items'!$A:$AAY,MATCH($AA309,'Key Balance Sheet &amp; CFlow Items'!$B:$B,0),MATCH(AG308,'Key Balance Sheet &amp; CFlow Items'!$1:$1,0)),"")</f>
        <v>0.36323658751099386</v>
      </c>
      <c r="AH309" s="31">
        <f>IFERROR(INDEX('Key Balance Sheet &amp; CFlow Items'!$A:$AAY,MATCH($AA309,'Key Balance Sheet &amp; CFlow Items'!$B:$B,0),MATCH(AH308,'Key Balance Sheet &amp; CFlow Items'!$1:$1,0)),"")</f>
        <v>0.30955526199911931</v>
      </c>
      <c r="AI309" s="31">
        <f>IFERROR(INDEX('Key Balance Sheet &amp; CFlow Items'!$A:$AAY,MATCH($AA309,'Key Balance Sheet &amp; CFlow Items'!$B:$B,0),MATCH(AI308,'Key Balance Sheet &amp; CFlow Items'!$1:$1,0)),"")</f>
        <v>0.13640065146579805</v>
      </c>
      <c r="AJ309" s="31">
        <f>IFERROR(INDEX('Key Balance Sheet &amp; CFlow Items'!$A:$AAY,MATCH($AA309,'Key Balance Sheet &amp; CFlow Items'!$B:$B,0),MATCH(AJ308,'Key Balance Sheet &amp; CFlow Items'!$1:$1,0)),"")</f>
        <v>0.31421446384039903</v>
      </c>
      <c r="AK309" s="31">
        <f>IFERROR(INDEX('Key Balance Sheet &amp; CFlow Items'!$A:$AAY,MATCH($AA309,'Key Balance Sheet &amp; CFlow Items'!$B:$B,0),MATCH(AK308,'Key Balance Sheet &amp; CFlow Items'!$1:$1,0)),"")</f>
        <v>0.31806930693069307</v>
      </c>
      <c r="AL309" s="31">
        <f>IFERROR(INDEX('Key Balance Sheet &amp; CFlow Items'!$A:$AAY,MATCH($AA309,'Key Balance Sheet &amp; CFlow Items'!$B:$B,0),MATCH(AL308,'Key Balance Sheet &amp; CFlow Items'!$1:$1,0)),"")</f>
        <v>0.30436590436590438</v>
      </c>
      <c r="AM309" s="31">
        <f>IFERROR(INDEX('Key Balance Sheet &amp; CFlow Items'!$A:$AAY,MATCH($AA309,'Key Balance Sheet &amp; CFlow Items'!$B:$B,0),MATCH(AM308,'Key Balance Sheet &amp; CFlow Items'!$1:$1,0)),"")</f>
        <v>0.21769772905246673</v>
      </c>
      <c r="AN309" s="31">
        <f>IFERROR(INDEX('Key Balance Sheet &amp; CFlow Items'!$A:$AAY,MATCH($AA309,'Key Balance Sheet &amp; CFlow Items'!$B:$B,0),MATCH(AN308,'Key Balance Sheet &amp; CFlow Items'!$1:$1,0)),"")</f>
        <v>0.33333333333333331</v>
      </c>
      <c r="AO309" s="31">
        <f>IFERROR(INDEX('Key Balance Sheet &amp; CFlow Items'!$A:$AAY,MATCH($AA309,'Key Balance Sheet &amp; CFlow Items'!$B:$B,0),MATCH(AO308,'Key Balance Sheet &amp; CFlow Items'!$1:$1,0)),"")</f>
        <v>0.33846153846153848</v>
      </c>
      <c r="AP309" s="31">
        <f>IFERROR(INDEX('Key Balance Sheet &amp; CFlow Items'!$A:$AAY,MATCH($AA309,'Key Balance Sheet &amp; CFlow Items'!$B:$B,0),MATCH(AP308,'Key Balance Sheet &amp; CFlow Items'!$1:$1,0)),"")</f>
        <v>0.29238329238329236</v>
      </c>
      <c r="AQ309" s="31">
        <f>IFERROR(INDEX('Key Balance Sheet &amp; CFlow Items'!$A:$AAY,MATCH($AA309,'Key Balance Sheet &amp; CFlow Items'!$B:$B,0),MATCH(AQ308,'Key Balance Sheet &amp; CFlow Items'!$1:$1,0)),"")</f>
        <v>0.275346462436178</v>
      </c>
      <c r="AR309" s="31">
        <f>IFERROR(INDEX('Key Balance Sheet &amp; CFlow Items'!$A:$AAY,MATCH($AA309,'Key Balance Sheet &amp; CFlow Items'!$B:$B,0),MATCH(AR308,'Key Balance Sheet &amp; CFlow Items'!$1:$1,0)),"")</f>
        <v>0.36035343834037648</v>
      </c>
      <c r="AS309" s="31">
        <f>IFERROR(INDEX('Key Balance Sheet &amp; CFlow Items'!$A:$AAY,MATCH($AA309,'Key Balance Sheet &amp; CFlow Items'!$B:$B,0),MATCH(AS308,'Key Balance Sheet &amp; CFlow Items'!$1:$1,0)),"")</f>
        <v>0.35962877030162416</v>
      </c>
      <c r="AT309" s="31">
        <f>IFERROR(INDEX('Key Balance Sheet &amp; CFlow Items'!$A:$AAY,MATCH($AA309,'Key Balance Sheet &amp; CFlow Items'!$B:$B,0),MATCH(AT308,'Key Balance Sheet &amp; CFlow Items'!$1:$1,0)),"")</f>
        <v>0.35248447204968947</v>
      </c>
      <c r="AU309" s="31">
        <f>IFERROR(INDEX('Key Balance Sheet &amp; CFlow Items'!$A:$AAY,MATCH($AA309,'Key Balance Sheet &amp; CFlow Items'!$B:$B,0),MATCH(AU308,'Key Balance Sheet &amp; CFlow Items'!$1:$1,0)),"")</f>
        <v>0.24251172861782749</v>
      </c>
    </row>
    <row r="310" spans="1:47" x14ac:dyDescent="0.35">
      <c r="A310" s="6"/>
      <c r="B310" s="6"/>
      <c r="C310" s="6"/>
      <c r="D310" s="6"/>
      <c r="E310" s="6"/>
      <c r="F310" s="6"/>
      <c r="G310" s="6"/>
      <c r="H310" s="6"/>
      <c r="I310" s="6"/>
      <c r="J310" s="6"/>
      <c r="K310" s="6"/>
      <c r="L310" s="6"/>
      <c r="M310" s="6"/>
      <c r="N310" s="6"/>
      <c r="O310" s="6"/>
      <c r="P310" s="6"/>
      <c r="Q310" s="6"/>
      <c r="R310" s="6"/>
      <c r="S310" s="6"/>
      <c r="T310" s="6"/>
      <c r="U310" s="6"/>
      <c r="V310" s="6"/>
      <c r="W310" s="6"/>
    </row>
    <row r="311" spans="1:47" x14ac:dyDescent="0.35">
      <c r="A311" s="6"/>
      <c r="B311" s="6"/>
      <c r="C311" s="6"/>
      <c r="D311" s="6"/>
      <c r="E311" s="6"/>
      <c r="F311" s="6"/>
      <c r="G311" s="6"/>
      <c r="H311" s="6"/>
      <c r="I311" s="6"/>
      <c r="J311" s="6"/>
      <c r="K311" s="6"/>
      <c r="L311" s="6"/>
      <c r="M311" s="6"/>
      <c r="N311" s="6"/>
      <c r="O311" s="6"/>
      <c r="P311" s="6"/>
      <c r="Q311" s="6"/>
      <c r="R311" s="6"/>
      <c r="S311" s="6"/>
      <c r="T311" s="6"/>
      <c r="U311" s="6"/>
      <c r="V311" s="6"/>
      <c r="W311" s="6"/>
    </row>
    <row r="312" spans="1:47" x14ac:dyDescent="0.35">
      <c r="A312" s="6"/>
      <c r="B312" s="6"/>
      <c r="C312" s="6"/>
      <c r="D312" s="6"/>
      <c r="E312" s="6"/>
      <c r="F312" s="6"/>
      <c r="G312" s="6"/>
      <c r="H312" s="6"/>
      <c r="I312" s="6"/>
      <c r="J312" s="6"/>
      <c r="K312" s="6"/>
      <c r="L312" s="6"/>
      <c r="M312" s="6"/>
      <c r="N312" s="6"/>
      <c r="O312" s="6"/>
      <c r="P312" s="6"/>
      <c r="Q312" s="6"/>
      <c r="R312" s="6"/>
      <c r="S312" s="6"/>
      <c r="T312" s="6"/>
      <c r="U312" s="6"/>
      <c r="V312" s="6"/>
      <c r="W312" s="6"/>
    </row>
    <row r="313" spans="1:47" x14ac:dyDescent="0.35">
      <c r="A313" s="6"/>
      <c r="B313" s="6"/>
      <c r="C313" s="6"/>
      <c r="D313" s="6"/>
      <c r="E313" s="6"/>
      <c r="F313" s="6"/>
      <c r="G313" s="6"/>
      <c r="H313" s="6"/>
      <c r="I313" s="6"/>
      <c r="J313" s="6"/>
      <c r="K313" s="6"/>
      <c r="L313" s="6"/>
      <c r="M313" s="6"/>
      <c r="N313" s="6"/>
      <c r="O313" s="6"/>
      <c r="P313" s="6"/>
      <c r="Q313" s="6"/>
      <c r="R313" s="6"/>
      <c r="S313" s="6"/>
      <c r="T313" s="6"/>
      <c r="U313" s="6"/>
      <c r="V313" s="6"/>
      <c r="W313" s="6"/>
    </row>
    <row r="314" spans="1:47" x14ac:dyDescent="0.35">
      <c r="A314" s="6"/>
      <c r="B314" s="6"/>
      <c r="C314" s="6"/>
      <c r="D314" s="6"/>
      <c r="E314" s="6"/>
      <c r="F314" s="6"/>
      <c r="G314" s="6"/>
      <c r="H314" s="6"/>
      <c r="I314" s="6"/>
      <c r="J314" s="6"/>
      <c r="K314" s="6"/>
      <c r="L314" s="6"/>
      <c r="M314" s="6"/>
      <c r="N314" s="6"/>
      <c r="O314" s="6"/>
      <c r="P314" s="6"/>
      <c r="Q314" s="6"/>
      <c r="R314" s="6"/>
      <c r="S314" s="6"/>
      <c r="T314" s="6"/>
      <c r="U314" s="6"/>
      <c r="V314" s="6"/>
      <c r="W314" s="6"/>
    </row>
    <row r="315" spans="1:47" x14ac:dyDescent="0.35">
      <c r="A315" s="1" t="s">
        <v>33</v>
      </c>
      <c r="B315" s="1" t="s">
        <v>105</v>
      </c>
      <c r="C315" s="1"/>
      <c r="D315" s="1"/>
      <c r="E315" s="1"/>
      <c r="F315" s="1"/>
      <c r="G315" s="1"/>
      <c r="H315" s="1"/>
      <c r="I315" s="1"/>
      <c r="J315" s="1"/>
      <c r="K315" s="1" t="s">
        <v>34</v>
      </c>
      <c r="L315" s="1" t="s">
        <v>130</v>
      </c>
      <c r="M315" s="1"/>
      <c r="N315" s="1"/>
      <c r="O315" s="1"/>
      <c r="P315" s="1"/>
      <c r="Q315" s="1"/>
      <c r="R315" s="1"/>
      <c r="S315" s="1"/>
      <c r="T315" s="1"/>
      <c r="U315" s="6"/>
      <c r="V315" s="6"/>
      <c r="W315" s="6"/>
    </row>
    <row r="316" spans="1:47" x14ac:dyDescent="0.35">
      <c r="A316" s="6"/>
      <c r="B316" s="6"/>
      <c r="C316" s="6"/>
      <c r="D316" s="6"/>
      <c r="E316" s="6"/>
      <c r="F316" s="6"/>
      <c r="G316" s="6"/>
      <c r="H316" s="6"/>
      <c r="I316" s="6"/>
      <c r="J316" s="6"/>
      <c r="K316" s="6"/>
      <c r="L316" s="6"/>
      <c r="M316" s="6"/>
      <c r="N316" s="6"/>
      <c r="O316" s="6"/>
      <c r="P316" s="6"/>
      <c r="Q316" s="6"/>
      <c r="R316" s="6"/>
      <c r="S316" s="6"/>
      <c r="T316" s="6"/>
      <c r="U316" s="6"/>
      <c r="V316" s="6"/>
      <c r="W316" s="6"/>
    </row>
    <row r="317" spans="1:47" x14ac:dyDescent="0.35">
      <c r="A317" s="6"/>
      <c r="B317" s="6"/>
      <c r="C317" s="6"/>
      <c r="D317" s="6"/>
      <c r="E317" s="6"/>
      <c r="F317" s="6"/>
      <c r="G317" s="6"/>
      <c r="H317" s="6"/>
      <c r="I317" s="6"/>
      <c r="J317" s="6"/>
      <c r="K317" s="6"/>
      <c r="L317" s="6"/>
      <c r="M317" s="6"/>
      <c r="N317" s="6"/>
      <c r="O317" s="6"/>
      <c r="P317" s="6"/>
      <c r="Q317" s="6"/>
      <c r="R317" s="6"/>
      <c r="S317" s="6"/>
      <c r="T317" s="6"/>
      <c r="U317" s="6"/>
      <c r="V317" s="6"/>
      <c r="W317" s="6"/>
    </row>
    <row r="318" spans="1:47" x14ac:dyDescent="0.35">
      <c r="A318" s="6"/>
      <c r="B318" s="6"/>
      <c r="C318" s="6"/>
      <c r="D318" s="6"/>
      <c r="E318" s="6"/>
      <c r="F318" s="6"/>
      <c r="G318" s="6"/>
      <c r="H318" s="6"/>
      <c r="I318" s="6"/>
      <c r="J318" s="6"/>
      <c r="K318" s="6"/>
      <c r="L318" s="6"/>
      <c r="M318" s="6"/>
      <c r="N318" s="6"/>
      <c r="O318" s="6"/>
      <c r="P318" s="6"/>
      <c r="Q318" s="6"/>
      <c r="R318" s="6"/>
      <c r="S318" s="6"/>
      <c r="T318" s="6"/>
      <c r="U318" s="6"/>
      <c r="V318" s="6"/>
      <c r="W318" s="6"/>
      <c r="AB318" s="27">
        <f t="shared" ref="AB318" si="559">AC318-1</f>
        <v>33</v>
      </c>
      <c r="AC318" s="27">
        <f t="shared" ref="AC318" si="560">AD318-1</f>
        <v>34</v>
      </c>
      <c r="AD318" s="27">
        <f t="shared" ref="AD318" si="561">AE318-1</f>
        <v>35</v>
      </c>
      <c r="AE318" s="27">
        <f t="shared" ref="AE318" si="562">AF318-1</f>
        <v>36</v>
      </c>
      <c r="AF318" s="27">
        <f t="shared" ref="AF318" si="563">AG318-1</f>
        <v>37</v>
      </c>
      <c r="AG318" s="27">
        <f t="shared" ref="AG318" si="564">AH318-1</f>
        <v>38</v>
      </c>
      <c r="AH318" s="27">
        <f t="shared" ref="AH318" si="565">AI318-1</f>
        <v>39</v>
      </c>
      <c r="AI318" s="27">
        <f t="shared" ref="AI318" si="566">AJ318-1</f>
        <v>40</v>
      </c>
      <c r="AJ318" s="27">
        <f t="shared" ref="AJ318" si="567">AK318-1</f>
        <v>41</v>
      </c>
      <c r="AK318" s="27">
        <f t="shared" ref="AK318" si="568">AL318-1</f>
        <v>42</v>
      </c>
      <c r="AL318" s="27">
        <f t="shared" ref="AL318" si="569">AM318-1</f>
        <v>43</v>
      </c>
      <c r="AM318" s="27">
        <f t="shared" ref="AM318" si="570">AN318-1</f>
        <v>44</v>
      </c>
      <c r="AN318" s="27">
        <f t="shared" ref="AN318" si="571">AO318-1</f>
        <v>45</v>
      </c>
      <c r="AO318" s="27">
        <f t="shared" ref="AO318" si="572">AP318-1</f>
        <v>46</v>
      </c>
      <c r="AP318" s="27">
        <f t="shared" ref="AP318" si="573">AQ318-1</f>
        <v>47</v>
      </c>
      <c r="AQ318" s="27">
        <f t="shared" ref="AQ318" si="574">AR318-1</f>
        <v>48</v>
      </c>
      <c r="AR318" s="27">
        <f t="shared" ref="AR318" si="575">AS318-1</f>
        <v>49</v>
      </c>
      <c r="AS318" s="27">
        <f t="shared" ref="AS318" si="576">AT318-1</f>
        <v>50</v>
      </c>
      <c r="AT318" s="27">
        <f>AU318-1</f>
        <v>51</v>
      </c>
      <c r="AU318" s="27">
        <f>VLOOKUP(AU319,Dates!$A:$D,2,FALSE)</f>
        <v>52</v>
      </c>
    </row>
    <row r="319" spans="1:47" x14ac:dyDescent="0.35">
      <c r="A319" s="6"/>
      <c r="B319" s="6"/>
      <c r="C319" s="6"/>
      <c r="D319" s="6"/>
      <c r="E319" s="6"/>
      <c r="F319" s="6"/>
      <c r="G319" s="6"/>
      <c r="H319" s="6"/>
      <c r="I319" s="6"/>
      <c r="J319" s="6"/>
      <c r="K319" s="6"/>
      <c r="L319" s="6"/>
      <c r="M319" s="6"/>
      <c r="N319" s="6"/>
      <c r="O319" s="6"/>
      <c r="P319" s="6"/>
      <c r="Q319" s="6"/>
      <c r="R319" s="6"/>
      <c r="S319" s="6"/>
      <c r="T319" s="6"/>
      <c r="U319" s="6"/>
      <c r="V319" s="6"/>
      <c r="W319" s="6"/>
      <c r="AB319" s="27" t="str">
        <f>IFERROR(VLOOKUP(AB318,Dates!$B:$D,3,FALSE),"")</f>
        <v>1Q20</v>
      </c>
      <c r="AC319" s="27" t="str">
        <f>IFERROR(VLOOKUP(AC318,Dates!$B:$D,3,FALSE),"")</f>
        <v>2Q20</v>
      </c>
      <c r="AD319" s="27" t="str">
        <f>IFERROR(VLOOKUP(AD318,Dates!$B:$D,3,FALSE),"")</f>
        <v>3Q20</v>
      </c>
      <c r="AE319" s="27" t="str">
        <f>IFERROR(VLOOKUP(AE318,Dates!$B:$D,3,FALSE),"")</f>
        <v>4Q20</v>
      </c>
      <c r="AF319" s="27" t="str">
        <f>IFERROR(VLOOKUP(AF318,Dates!$B:$D,3,FALSE),"")</f>
        <v>1Q21</v>
      </c>
      <c r="AG319" s="27" t="str">
        <f>IFERROR(VLOOKUP(AG318,Dates!$B:$D,3,FALSE),"")</f>
        <v>2Q21</v>
      </c>
      <c r="AH319" s="27" t="str">
        <f>IFERROR(VLOOKUP(AH318,Dates!$B:$D,3,FALSE),"")</f>
        <v>3Q21</v>
      </c>
      <c r="AI319" s="27" t="str">
        <f>IFERROR(VLOOKUP(AI318,Dates!$B:$D,3,FALSE),"")</f>
        <v>4Q21</v>
      </c>
      <c r="AJ319" s="27" t="str">
        <f>IFERROR(VLOOKUP(AJ318,Dates!$B:$D,3,FALSE),"")</f>
        <v>1Q22</v>
      </c>
      <c r="AK319" s="27" t="str">
        <f>IFERROR(VLOOKUP(AK318,Dates!$B:$D,3,FALSE),"")</f>
        <v>2Q22</v>
      </c>
      <c r="AL319" s="27" t="str">
        <f>IFERROR(VLOOKUP(AL318,Dates!$B:$D,3,FALSE),"")</f>
        <v>3Q22</v>
      </c>
      <c r="AM319" s="27" t="str">
        <f>IFERROR(VLOOKUP(AM318,Dates!$B:$D,3,FALSE),"")</f>
        <v>4Q22</v>
      </c>
      <c r="AN319" s="27" t="str">
        <f>IFERROR(VLOOKUP(AN318,Dates!$B:$D,3,FALSE),"")</f>
        <v>1Q23</v>
      </c>
      <c r="AO319" s="27" t="str">
        <f>IFERROR(VLOOKUP(AO318,Dates!$B:$D,3,FALSE),"")</f>
        <v>2Q23</v>
      </c>
      <c r="AP319" s="27" t="str">
        <f>IFERROR(VLOOKUP(AP318,Dates!$B:$D,3,FALSE),"")</f>
        <v>3Q23</v>
      </c>
      <c r="AQ319" s="27" t="str">
        <f>IFERROR(VLOOKUP(AQ318,Dates!$B:$D,3,FALSE),"")</f>
        <v>4Q23</v>
      </c>
      <c r="AR319" s="27" t="str">
        <f>IFERROR(VLOOKUP(AR318,Dates!$B:$D,3,FALSE),"")</f>
        <v>1Q24</v>
      </c>
      <c r="AS319" s="27" t="str">
        <f>IFERROR(VLOOKUP(AS318,Dates!$B:$D,3,FALSE),"")</f>
        <v>2Q24</v>
      </c>
      <c r="AT319" s="27" t="str">
        <f>IFERROR(VLOOKUP(AT318,Dates!$B:$D,3,FALSE),"")</f>
        <v>3Q24</v>
      </c>
      <c r="AU319" s="28" t="str">
        <f>$G$3</f>
        <v>4Q24</v>
      </c>
    </row>
    <row r="320" spans="1:47" x14ac:dyDescent="0.35">
      <c r="A320" s="6"/>
      <c r="B320" s="6"/>
      <c r="C320" s="6"/>
      <c r="D320" s="6"/>
      <c r="E320" s="6"/>
      <c r="F320" s="6"/>
      <c r="G320" s="6"/>
      <c r="H320" s="6"/>
      <c r="I320" s="6"/>
      <c r="J320" s="6"/>
      <c r="K320" s="6"/>
      <c r="L320" s="6"/>
      <c r="M320" s="6"/>
      <c r="N320" s="6"/>
      <c r="O320" s="6"/>
      <c r="P320" s="6"/>
      <c r="Q320" s="6"/>
      <c r="R320" s="6"/>
      <c r="S320" s="6"/>
      <c r="T320" s="6"/>
      <c r="U320" s="6"/>
      <c r="V320" s="6"/>
      <c r="W320" s="6"/>
      <c r="AA320" s="29" t="str">
        <f>'Key Balance Sheet &amp; CFlow Items'!B33</f>
        <v>FCF (OpFCF - Interest - Tax)</v>
      </c>
      <c r="AB320" s="32">
        <f>IFERROR(INDEX('Key Balance Sheet &amp; CFlow Items'!$A:$AAY,MATCH($AA320,'Key Balance Sheet &amp; CFlow Items'!$B:$B,0),MATCH(AB319,'Key Balance Sheet &amp; CFlow Items'!$1:$1,0)),"")</f>
        <v>579</v>
      </c>
      <c r="AC320" s="32">
        <f>IFERROR(INDEX('Key Balance Sheet &amp; CFlow Items'!$A:$AAY,MATCH($AA320,'Key Balance Sheet &amp; CFlow Items'!$B:$B,0),MATCH(AC319,'Key Balance Sheet &amp; CFlow Items'!$1:$1,0)),"")</f>
        <v>471</v>
      </c>
      <c r="AD320" s="32">
        <f>IFERROR(INDEX('Key Balance Sheet &amp; CFlow Items'!$A:$AAY,MATCH($AA320,'Key Balance Sheet &amp; CFlow Items'!$B:$B,0),MATCH(AD319,'Key Balance Sheet &amp; CFlow Items'!$1:$1,0)),"")</f>
        <v>423</v>
      </c>
      <c r="AE320" s="32">
        <f>IFERROR(INDEX('Key Balance Sheet &amp; CFlow Items'!$A:$AAY,MATCH($AA320,'Key Balance Sheet &amp; CFlow Items'!$B:$B,0),MATCH(AE319,'Key Balance Sheet &amp; CFlow Items'!$1:$1,0)),"")</f>
        <v>222</v>
      </c>
      <c r="AF320" s="32">
        <f>IFERROR(INDEX('Key Balance Sheet &amp; CFlow Items'!$A:$AAY,MATCH($AA320,'Key Balance Sheet &amp; CFlow Items'!$B:$B,0),MATCH(AF319,'Key Balance Sheet &amp; CFlow Items'!$1:$1,0)),"")</f>
        <v>597</v>
      </c>
      <c r="AG320" s="32">
        <f>IFERROR(INDEX('Key Balance Sheet &amp; CFlow Items'!$A:$AAY,MATCH($AA320,'Key Balance Sheet &amp; CFlow Items'!$B:$B,0),MATCH(AG319,'Key Balance Sheet &amp; CFlow Items'!$1:$1,0)),"")</f>
        <v>592</v>
      </c>
      <c r="AH320" s="32">
        <f>IFERROR(INDEX('Key Balance Sheet &amp; CFlow Items'!$A:$AAY,MATCH($AA320,'Key Balance Sheet &amp; CFlow Items'!$B:$B,0),MATCH(AH319,'Key Balance Sheet &amp; CFlow Items'!$1:$1,0)),"")</f>
        <v>488</v>
      </c>
      <c r="AI320" s="32">
        <f>IFERROR(INDEX('Key Balance Sheet &amp; CFlow Items'!$A:$AAY,MATCH($AA320,'Key Balance Sheet &amp; CFlow Items'!$B:$B,0),MATCH(AI319,'Key Balance Sheet &amp; CFlow Items'!$1:$1,0)),"")</f>
        <v>146</v>
      </c>
      <c r="AJ320" s="32">
        <f>IFERROR(INDEX('Key Balance Sheet &amp; CFlow Items'!$A:$AAY,MATCH($AA320,'Key Balance Sheet &amp; CFlow Items'!$B:$B,0),MATCH(AJ319,'Key Balance Sheet &amp; CFlow Items'!$1:$1,0)),"")</f>
        <v>525</v>
      </c>
      <c r="AK320" s="32">
        <f>IFERROR(INDEX('Key Balance Sheet &amp; CFlow Items'!$A:$AAY,MATCH($AA320,'Key Balance Sheet &amp; CFlow Items'!$B:$B,0),MATCH(AK319,'Key Balance Sheet &amp; CFlow Items'!$1:$1,0)),"")</f>
        <v>496</v>
      </c>
      <c r="AL320" s="32">
        <f>IFERROR(INDEX('Key Balance Sheet &amp; CFlow Items'!$A:$AAY,MATCH($AA320,'Key Balance Sheet &amp; CFlow Items'!$B:$B,0),MATCH(AL319,'Key Balance Sheet &amp; CFlow Items'!$1:$1,0)),"")</f>
        <v>466</v>
      </c>
      <c r="AM320" s="32">
        <f>IFERROR(INDEX('Key Balance Sheet &amp; CFlow Items'!$A:$AAY,MATCH($AA320,'Key Balance Sheet &amp; CFlow Items'!$B:$B,0),MATCH(AM319,'Key Balance Sheet &amp; CFlow Items'!$1:$1,0)),"")</f>
        <v>270</v>
      </c>
      <c r="AN320" s="32">
        <f>IFERROR(INDEX('Key Balance Sheet &amp; CFlow Items'!$A:$AAY,MATCH($AA320,'Key Balance Sheet &amp; CFlow Items'!$B:$B,0),MATCH(AN319,'Key Balance Sheet &amp; CFlow Items'!$1:$1,0)),"")</f>
        <v>621</v>
      </c>
      <c r="AO320" s="32">
        <f>IFERROR(INDEX('Key Balance Sheet &amp; CFlow Items'!$A:$AAY,MATCH($AA320,'Key Balance Sheet &amp; CFlow Items'!$B:$B,0),MATCH(AO319,'Key Balance Sheet &amp; CFlow Items'!$1:$1,0)),"")</f>
        <v>597</v>
      </c>
      <c r="AP320" s="32">
        <f>IFERROR(INDEX('Key Balance Sheet &amp; CFlow Items'!$A:$AAY,MATCH($AA320,'Key Balance Sheet &amp; CFlow Items'!$B:$B,0),MATCH(AP319,'Key Balance Sheet &amp; CFlow Items'!$1:$1,0)),"")</f>
        <v>509</v>
      </c>
      <c r="AQ320" s="32">
        <f>IFERROR(INDEX('Key Balance Sheet &amp; CFlow Items'!$A:$AAY,MATCH($AA320,'Key Balance Sheet &amp; CFlow Items'!$B:$B,0),MATCH(AQ319,'Key Balance Sheet &amp; CFlow Items'!$1:$1,0)),"")</f>
        <v>522</v>
      </c>
      <c r="AR320" s="32">
        <f>IFERROR(INDEX('Key Balance Sheet &amp; CFlow Items'!$A:$AAY,MATCH($AA320,'Key Balance Sheet &amp; CFlow Items'!$B:$B,0),MATCH(AR319,'Key Balance Sheet &amp; CFlow Items'!$1:$1,0)),"")</f>
        <v>701</v>
      </c>
      <c r="AS320" s="32">
        <f>IFERROR(INDEX('Key Balance Sheet &amp; CFlow Items'!$A:$AAY,MATCH($AA320,'Key Balance Sheet &amp; CFlow Items'!$B:$B,0),MATCH(AS319,'Key Balance Sheet &amp; CFlow Items'!$1:$1,0)),"")</f>
        <v>691</v>
      </c>
      <c r="AT320" s="32">
        <f>IFERROR(INDEX('Key Balance Sheet &amp; CFlow Items'!$A:$AAY,MATCH($AA320,'Key Balance Sheet &amp; CFlow Items'!$B:$B,0),MATCH(AT319,'Key Balance Sheet &amp; CFlow Items'!$1:$1,0)),"")</f>
        <v>675</v>
      </c>
      <c r="AU320" s="32">
        <f>IFERROR(INDEX('Key Balance Sheet &amp; CFlow Items'!$A:$AAY,MATCH($AA320,'Key Balance Sheet &amp; CFlow Items'!$B:$B,0),MATCH(AU319,'Key Balance Sheet &amp; CFlow Items'!$1:$1,0)),"")</f>
        <v>453</v>
      </c>
    </row>
    <row r="321" spans="1:47" x14ac:dyDescent="0.35">
      <c r="A321" s="6"/>
      <c r="B321" s="6"/>
      <c r="C321" s="6"/>
      <c r="D321" s="6"/>
      <c r="E321" s="6"/>
      <c r="F321" s="6"/>
      <c r="G321" s="6"/>
      <c r="H321" s="6"/>
      <c r="I321" s="6"/>
      <c r="J321" s="6"/>
      <c r="K321" s="6"/>
      <c r="L321" s="6"/>
      <c r="M321" s="6"/>
      <c r="N321" s="6"/>
      <c r="O321" s="6"/>
      <c r="P321" s="6"/>
      <c r="Q321" s="6"/>
      <c r="R321" s="6"/>
      <c r="S321" s="6"/>
      <c r="T321" s="6"/>
      <c r="U321" s="6"/>
      <c r="V321" s="6"/>
      <c r="W321" s="6"/>
    </row>
    <row r="322" spans="1:47" x14ac:dyDescent="0.35">
      <c r="A322" s="6"/>
      <c r="B322" s="6"/>
      <c r="C322" s="6"/>
      <c r="D322" s="6"/>
      <c r="E322" s="6"/>
      <c r="F322" s="6"/>
      <c r="G322" s="6"/>
      <c r="H322" s="6"/>
      <c r="I322" s="6"/>
      <c r="J322" s="6"/>
      <c r="K322" s="6"/>
      <c r="L322" s="6"/>
      <c r="M322" s="6"/>
      <c r="N322" s="6"/>
      <c r="O322" s="6"/>
      <c r="P322" s="6"/>
      <c r="Q322" s="6"/>
      <c r="R322" s="6"/>
      <c r="S322" s="6"/>
      <c r="T322" s="6"/>
      <c r="U322" s="6"/>
      <c r="V322" s="6"/>
      <c r="W322" s="6"/>
    </row>
    <row r="323" spans="1:47" x14ac:dyDescent="0.35">
      <c r="A323" s="6"/>
      <c r="B323" s="6"/>
      <c r="C323" s="6"/>
      <c r="D323" s="6"/>
      <c r="E323" s="6"/>
      <c r="F323" s="6"/>
      <c r="G323" s="6"/>
      <c r="H323" s="6"/>
      <c r="I323" s="6"/>
      <c r="J323" s="6"/>
      <c r="K323" s="6"/>
      <c r="L323" s="6"/>
      <c r="M323" s="6"/>
      <c r="N323" s="6"/>
      <c r="O323" s="6"/>
      <c r="P323" s="6"/>
      <c r="Q323" s="6"/>
      <c r="R323" s="6"/>
      <c r="S323" s="6"/>
      <c r="T323" s="6"/>
      <c r="U323" s="6"/>
      <c r="V323" s="6"/>
      <c r="W323" s="6"/>
    </row>
    <row r="324" spans="1:47" x14ac:dyDescent="0.35">
      <c r="A324" s="6"/>
      <c r="B324" s="6"/>
      <c r="C324" s="6"/>
      <c r="D324" s="6"/>
      <c r="E324" s="6"/>
      <c r="F324" s="6"/>
      <c r="G324" s="6"/>
      <c r="H324" s="6"/>
      <c r="I324" s="6"/>
      <c r="J324" s="6"/>
      <c r="K324" s="6"/>
      <c r="L324" s="6"/>
      <c r="M324" s="6"/>
      <c r="N324" s="6"/>
      <c r="O324" s="6"/>
      <c r="P324" s="6"/>
      <c r="Q324" s="6"/>
      <c r="R324" s="6"/>
      <c r="S324" s="6"/>
      <c r="T324" s="6"/>
      <c r="U324" s="6"/>
      <c r="V324" s="6"/>
      <c r="W324" s="6"/>
    </row>
    <row r="325" spans="1:47" x14ac:dyDescent="0.35">
      <c r="A325" s="6"/>
      <c r="B325" s="6"/>
      <c r="C325" s="6"/>
      <c r="D325" s="6"/>
      <c r="E325" s="6"/>
      <c r="F325" s="6"/>
      <c r="G325" s="6"/>
      <c r="H325" s="6"/>
      <c r="I325" s="6"/>
      <c r="J325" s="6"/>
      <c r="K325" s="6"/>
      <c r="L325" s="6"/>
      <c r="M325" s="6"/>
      <c r="N325" s="6"/>
      <c r="O325" s="6"/>
      <c r="P325" s="6"/>
      <c r="Q325" s="6"/>
      <c r="R325" s="6"/>
      <c r="S325" s="6"/>
      <c r="T325" s="6"/>
      <c r="U325" s="6"/>
      <c r="V325" s="6"/>
      <c r="W325" s="6"/>
      <c r="AB325" s="27">
        <f t="shared" ref="AB325" si="577">AC325-1</f>
        <v>33</v>
      </c>
      <c r="AC325" s="27">
        <f t="shared" ref="AC325" si="578">AD325-1</f>
        <v>34</v>
      </c>
      <c r="AD325" s="27">
        <f t="shared" ref="AD325" si="579">AE325-1</f>
        <v>35</v>
      </c>
      <c r="AE325" s="27">
        <f t="shared" ref="AE325" si="580">AF325-1</f>
        <v>36</v>
      </c>
      <c r="AF325" s="27">
        <f t="shared" ref="AF325" si="581">AG325-1</f>
        <v>37</v>
      </c>
      <c r="AG325" s="27">
        <f t="shared" ref="AG325" si="582">AH325-1</f>
        <v>38</v>
      </c>
      <c r="AH325" s="27">
        <f t="shared" ref="AH325" si="583">AI325-1</f>
        <v>39</v>
      </c>
      <c r="AI325" s="27">
        <f t="shared" ref="AI325" si="584">AJ325-1</f>
        <v>40</v>
      </c>
      <c r="AJ325" s="27">
        <f t="shared" ref="AJ325" si="585">AK325-1</f>
        <v>41</v>
      </c>
      <c r="AK325" s="27">
        <f t="shared" ref="AK325" si="586">AL325-1</f>
        <v>42</v>
      </c>
      <c r="AL325" s="27">
        <f t="shared" ref="AL325" si="587">AM325-1</f>
        <v>43</v>
      </c>
      <c r="AM325" s="27">
        <f t="shared" ref="AM325" si="588">AN325-1</f>
        <v>44</v>
      </c>
      <c r="AN325" s="27">
        <f t="shared" ref="AN325" si="589">AO325-1</f>
        <v>45</v>
      </c>
      <c r="AO325" s="27">
        <f t="shared" ref="AO325" si="590">AP325-1</f>
        <v>46</v>
      </c>
      <c r="AP325" s="27">
        <f t="shared" ref="AP325" si="591">AQ325-1</f>
        <v>47</v>
      </c>
      <c r="AQ325" s="27">
        <f t="shared" ref="AQ325" si="592">AR325-1</f>
        <v>48</v>
      </c>
      <c r="AR325" s="27">
        <f t="shared" ref="AR325" si="593">AS325-1</f>
        <v>49</v>
      </c>
      <c r="AS325" s="27">
        <f t="shared" ref="AS325" si="594">AT325-1</f>
        <v>50</v>
      </c>
      <c r="AT325" s="27">
        <f>AU325-1</f>
        <v>51</v>
      </c>
      <c r="AU325" s="27">
        <f>VLOOKUP(AU326,Dates!$A:$D,2,FALSE)</f>
        <v>52</v>
      </c>
    </row>
    <row r="326" spans="1:47" x14ac:dyDescent="0.35">
      <c r="A326" s="6"/>
      <c r="B326" s="6"/>
      <c r="C326" s="6"/>
      <c r="D326" s="6"/>
      <c r="E326" s="6"/>
      <c r="F326" s="6"/>
      <c r="G326" s="6"/>
      <c r="H326" s="6"/>
      <c r="I326" s="6"/>
      <c r="J326" s="6"/>
      <c r="K326" s="6"/>
      <c r="L326" s="6"/>
      <c r="M326" s="6"/>
      <c r="N326" s="6"/>
      <c r="O326" s="6"/>
      <c r="P326" s="6"/>
      <c r="Q326" s="6"/>
      <c r="R326" s="6"/>
      <c r="S326" s="6"/>
      <c r="T326" s="6"/>
      <c r="U326" s="6"/>
      <c r="V326" s="6"/>
      <c r="W326" s="6"/>
      <c r="AB326" s="27" t="str">
        <f>IFERROR(VLOOKUP(AB325,Dates!$B:$D,3,FALSE),"")</f>
        <v>1Q20</v>
      </c>
      <c r="AC326" s="27" t="str">
        <f>IFERROR(VLOOKUP(AC325,Dates!$B:$D,3,FALSE),"")</f>
        <v>2Q20</v>
      </c>
      <c r="AD326" s="27" t="str">
        <f>IFERROR(VLOOKUP(AD325,Dates!$B:$D,3,FALSE),"")</f>
        <v>3Q20</v>
      </c>
      <c r="AE326" s="27" t="str">
        <f>IFERROR(VLOOKUP(AE325,Dates!$B:$D,3,FALSE),"")</f>
        <v>4Q20</v>
      </c>
      <c r="AF326" s="27" t="str">
        <f>IFERROR(VLOOKUP(AF325,Dates!$B:$D,3,FALSE),"")</f>
        <v>1Q21</v>
      </c>
      <c r="AG326" s="27" t="str">
        <f>IFERROR(VLOOKUP(AG325,Dates!$B:$D,3,FALSE),"")</f>
        <v>2Q21</v>
      </c>
      <c r="AH326" s="27" t="str">
        <f>IFERROR(VLOOKUP(AH325,Dates!$B:$D,3,FALSE),"")</f>
        <v>3Q21</v>
      </c>
      <c r="AI326" s="27" t="str">
        <f>IFERROR(VLOOKUP(AI325,Dates!$B:$D,3,FALSE),"")</f>
        <v>4Q21</v>
      </c>
      <c r="AJ326" s="27" t="str">
        <f>IFERROR(VLOOKUP(AJ325,Dates!$B:$D,3,FALSE),"")</f>
        <v>1Q22</v>
      </c>
      <c r="AK326" s="27" t="str">
        <f>IFERROR(VLOOKUP(AK325,Dates!$B:$D,3,FALSE),"")</f>
        <v>2Q22</v>
      </c>
      <c r="AL326" s="27" t="str">
        <f>IFERROR(VLOOKUP(AL325,Dates!$B:$D,3,FALSE),"")</f>
        <v>3Q22</v>
      </c>
      <c r="AM326" s="27" t="str">
        <f>IFERROR(VLOOKUP(AM325,Dates!$B:$D,3,FALSE),"")</f>
        <v>4Q22</v>
      </c>
      <c r="AN326" s="27" t="str">
        <f>IFERROR(VLOOKUP(AN325,Dates!$B:$D,3,FALSE),"")</f>
        <v>1Q23</v>
      </c>
      <c r="AO326" s="27" t="str">
        <f>IFERROR(VLOOKUP(AO325,Dates!$B:$D,3,FALSE),"")</f>
        <v>2Q23</v>
      </c>
      <c r="AP326" s="27" t="str">
        <f>IFERROR(VLOOKUP(AP325,Dates!$B:$D,3,FALSE),"")</f>
        <v>3Q23</v>
      </c>
      <c r="AQ326" s="27" t="str">
        <f>IFERROR(VLOOKUP(AQ325,Dates!$B:$D,3,FALSE),"")</f>
        <v>4Q23</v>
      </c>
      <c r="AR326" s="27" t="str">
        <f>IFERROR(VLOOKUP(AR325,Dates!$B:$D,3,FALSE),"")</f>
        <v>1Q24</v>
      </c>
      <c r="AS326" s="27" t="str">
        <f>IFERROR(VLOOKUP(AS325,Dates!$B:$D,3,FALSE),"")</f>
        <v>2Q24</v>
      </c>
      <c r="AT326" s="27" t="str">
        <f>IFERROR(VLOOKUP(AT325,Dates!$B:$D,3,FALSE),"")</f>
        <v>3Q24</v>
      </c>
      <c r="AU326" s="28" t="str">
        <f>$G$3</f>
        <v>4Q24</v>
      </c>
    </row>
    <row r="327" spans="1:47" x14ac:dyDescent="0.35">
      <c r="A327" s="6"/>
      <c r="B327" s="6"/>
      <c r="C327" s="6"/>
      <c r="D327" s="6"/>
      <c r="E327" s="6"/>
      <c r="F327" s="6"/>
      <c r="G327" s="6"/>
      <c r="H327" s="6"/>
      <c r="I327" s="6"/>
      <c r="J327" s="6"/>
      <c r="K327" s="6"/>
      <c r="L327" s="6"/>
      <c r="M327" s="6"/>
      <c r="N327" s="6"/>
      <c r="O327" s="6"/>
      <c r="P327" s="6"/>
      <c r="Q327" s="6"/>
      <c r="R327" s="6"/>
      <c r="S327" s="6"/>
      <c r="T327" s="6"/>
      <c r="U327" s="6"/>
      <c r="V327" s="6"/>
      <c r="W327" s="6"/>
      <c r="AA327" s="29" t="str">
        <f>'Profit and Loss Highlights'!B84</f>
        <v>EPS</v>
      </c>
      <c r="AB327" s="31">
        <f>IFERROR(INDEX('Profit and Loss Highlights'!$A:$AAY,MATCH($AA327,'Profit and Loss Highlights'!$B:$B,0),MATCH(AB326,'Profit and Loss Highlights'!$1:$1,0)),"")</f>
        <v>4.5907928388746806E-2</v>
      </c>
      <c r="AC327" s="31">
        <f>IFERROR(INDEX('Profit and Loss Highlights'!$A:$AAY,MATCH($AA327,'Profit and Loss Highlights'!$B:$B,0),MATCH(AC326,'Profit and Loss Highlights'!$1:$1,0)),"")</f>
        <v>4.3094629156010228E-2</v>
      </c>
      <c r="AD327" s="31">
        <f>IFERROR(INDEX('Profit and Loss Highlights'!$A:$AAY,MATCH($AA327,'Profit and Loss Highlights'!$B:$B,0),MATCH(AD326,'Profit and Loss Highlights'!$1:$1,0)),"")</f>
        <v>4.6419437340153455E-2</v>
      </c>
      <c r="AE327" s="31">
        <f>IFERROR(INDEX('Profit and Loss Highlights'!$A:$AAY,MATCH($AA327,'Profit and Loss Highlights'!$B:$B,0),MATCH(AE326,'Profit and Loss Highlights'!$1:$1,0)),"")</f>
        <v>4.0792838874680305E-2</v>
      </c>
      <c r="AF327" s="31">
        <f>IFERROR(INDEX('Profit and Loss Highlights'!$A:$AAY,MATCH($AA327,'Profit and Loss Highlights'!$B:$B,0),MATCH(AF326,'Profit and Loss Highlights'!$1:$1,0)),"")</f>
        <v>4.271099744245524E-2</v>
      </c>
      <c r="AG327" s="31">
        <f>IFERROR(INDEX('Profit and Loss Highlights'!$A:$AAY,MATCH($AA327,'Profit and Loss Highlights'!$B:$B,0),MATCH(AG326,'Profit and Loss Highlights'!$1:$1,0)),"")</f>
        <v>4.6035805626598467E-2</v>
      </c>
      <c r="AH327" s="31">
        <f>IFERROR(INDEX('Profit and Loss Highlights'!$A:$AAY,MATCH($AA327,'Profit and Loss Highlights'!$B:$B,0),MATCH(AH326,'Profit and Loss Highlights'!$1:$1,0)),"")</f>
        <v>4.1560102301790282E-2</v>
      </c>
      <c r="AI327" s="31">
        <f>IFERROR(INDEX('Profit and Loss Highlights'!$A:$AAY,MATCH($AA327,'Profit and Loss Highlights'!$B:$B,0),MATCH(AI326,'Profit and Loss Highlights'!$1:$1,0)),"")</f>
        <v>3.6956521739130437E-2</v>
      </c>
      <c r="AJ327" s="31">
        <f>IFERROR(INDEX('Profit and Loss Highlights'!$A:$AAY,MATCH($AA327,'Profit and Loss Highlights'!$B:$B,0),MATCH(AJ326,'Profit and Loss Highlights'!$1:$1,0)),"")</f>
        <v>3.6928188090978788E-2</v>
      </c>
      <c r="AK327" s="31">
        <f>IFERROR(INDEX('Profit and Loss Highlights'!$A:$AAY,MATCH($AA327,'Profit and Loss Highlights'!$B:$B,0),MATCH(AK326,'Profit and Loss Highlights'!$1:$1,0)),"")</f>
        <v>4.1176470588235294E-2</v>
      </c>
      <c r="AL327" s="31">
        <f>IFERROR(INDEX('Profit and Loss Highlights'!$A:$AAY,MATCH($AA327,'Profit and Loss Highlights'!$B:$B,0),MATCH(AL326,'Profit and Loss Highlights'!$1:$1,0)),"")</f>
        <v>3.938618925831202E-2</v>
      </c>
      <c r="AM327" s="31">
        <f>IFERROR(INDEX('Profit and Loss Highlights'!$A:$AAY,MATCH($AA327,'Profit and Loss Highlights'!$B:$B,0),MATCH(AM326,'Profit and Loss Highlights'!$1:$1,0)),"")</f>
        <v>2.9667519181585677E-2</v>
      </c>
      <c r="AN327" s="31">
        <f>IFERROR(INDEX('Profit and Loss Highlights'!$A:$AAY,MATCH($AA327,'Profit and Loss Highlights'!$B:$B,0),MATCH(AN326,'Profit and Loss Highlights'!$1:$1,0)),"")</f>
        <v>4.0920716112531973E-2</v>
      </c>
      <c r="AO327" s="31">
        <f>IFERROR(INDEX('Profit and Loss Highlights'!$A:$AAY,MATCH($AA327,'Profit and Loss Highlights'!$B:$B,0),MATCH(AO326,'Profit and Loss Highlights'!$1:$1,0)),"")</f>
        <v>4.2071611253196931E-2</v>
      </c>
      <c r="AP327" s="31">
        <f>IFERROR(INDEX('Profit and Loss Highlights'!$A:$AAY,MATCH($AA327,'Profit and Loss Highlights'!$B:$B,0),MATCH(AP326,'Profit and Loss Highlights'!$1:$1,0)),"")</f>
        <v>3.6700767263427109E-2</v>
      </c>
      <c r="AQ327" s="31">
        <f>IFERROR(INDEX('Profit and Loss Highlights'!$A:$AAY,MATCH($AA327,'Profit and Loss Highlights'!$B:$B,0),MATCH(AQ326,'Profit and Loss Highlights'!$1:$1,0)),"")</f>
        <v>7.1611253196930949E-3</v>
      </c>
      <c r="AR327" s="31">
        <f>IFERROR(INDEX('Profit and Loss Highlights'!$A:$AAY,MATCH($AA327,'Profit and Loss Highlights'!$B:$B,0),MATCH(AR326,'Profit and Loss Highlights'!$1:$1,0)),"")</f>
        <v>4.514066496163683E-2</v>
      </c>
      <c r="AS327" s="31">
        <f>IFERROR(INDEX('Profit and Loss Highlights'!$A:$AAY,MATCH($AA327,'Profit and Loss Highlights'!$B:$B,0),MATCH(AS326,'Profit and Loss Highlights'!$1:$1,0)),"")</f>
        <v>4.5524296675191818E-2</v>
      </c>
      <c r="AT327" s="31">
        <f>IFERROR(INDEX('Profit and Loss Highlights'!$A:$AAY,MATCH($AA327,'Profit and Loss Highlights'!$B:$B,0),MATCH(AT326,'Profit and Loss Highlights'!$1:$1,0)),"")</f>
        <v>4.6803069053708443E-2</v>
      </c>
      <c r="AU327" s="31">
        <f>IFERROR(INDEX('Profit and Loss Highlights'!$A:$AAY,MATCH($AA327,'Profit and Loss Highlights'!$B:$B,0),MATCH(AU326,'Profit and Loss Highlights'!$1:$1,0)),"")</f>
        <v>4.1048593350383633E-2</v>
      </c>
    </row>
    <row r="328" spans="1:47" x14ac:dyDescent="0.35">
      <c r="A328" s="6"/>
      <c r="B328" s="6"/>
      <c r="C328" s="6"/>
      <c r="D328" s="6"/>
      <c r="E328" s="6"/>
      <c r="F328" s="6"/>
      <c r="G328" s="6"/>
      <c r="H328" s="6"/>
      <c r="I328" s="6"/>
      <c r="J328" s="6"/>
      <c r="K328" s="6"/>
      <c r="L328" s="6"/>
      <c r="M328" s="6"/>
      <c r="N328" s="6"/>
      <c r="O328" s="6"/>
      <c r="P328" s="6"/>
      <c r="Q328" s="6"/>
      <c r="R328" s="6"/>
      <c r="S328" s="6"/>
      <c r="T328" s="6"/>
      <c r="U328" s="6"/>
      <c r="V328" s="6"/>
      <c r="W328" s="6"/>
      <c r="AA328" s="29" t="str">
        <f>'Profit and Loss Highlights'!B85</f>
        <v>DPS</v>
      </c>
      <c r="AB328" s="31">
        <f>IFERROR(INDEX('Profit and Loss Highlights'!$A:$AAY,MATCH($AA328,'Profit and Loss Highlights'!$B:$B,0),MATCH(AB326,'Profit and Loss Highlights'!$1:$1,0)),"")</f>
        <v>0.04</v>
      </c>
      <c r="AC328" s="31">
        <f>IFERROR(INDEX('Profit and Loss Highlights'!$A:$AAY,MATCH($AA328,'Profit and Loss Highlights'!$B:$B,0),MATCH(AC326,'Profit and Loss Highlights'!$1:$1,0)),"")</f>
        <v>0.04</v>
      </c>
      <c r="AD328" s="31">
        <f>IFERROR(INDEX('Profit and Loss Highlights'!$A:$AAY,MATCH($AA328,'Profit and Loss Highlights'!$B:$B,0),MATCH(AD326,'Profit and Loss Highlights'!$1:$1,0)),"")</f>
        <v>0.04</v>
      </c>
      <c r="AE328" s="31">
        <f>IFERROR(INDEX('Profit and Loss Highlights'!$A:$AAY,MATCH($AA328,'Profit and Loss Highlights'!$B:$B,0),MATCH(AE326,'Profit and Loss Highlights'!$1:$1,0)),"")</f>
        <v>0.05</v>
      </c>
      <c r="AF328" s="31">
        <f>IFERROR(INDEX('Profit and Loss Highlights'!$A:$AAY,MATCH($AA328,'Profit and Loss Highlights'!$B:$B,0),MATCH(AF326,'Profit and Loss Highlights'!$1:$1,0)),"")</f>
        <v>0.04</v>
      </c>
      <c r="AG328" s="31">
        <f>IFERROR(INDEX('Profit and Loss Highlights'!$A:$AAY,MATCH($AA328,'Profit and Loss Highlights'!$B:$B,0),MATCH(AG326,'Profit and Loss Highlights'!$1:$1,0)),"")</f>
        <v>0.04</v>
      </c>
      <c r="AH328" s="31">
        <f>IFERROR(INDEX('Profit and Loss Highlights'!$A:$AAY,MATCH($AA328,'Profit and Loss Highlights'!$B:$B,0),MATCH(AH326,'Profit and Loss Highlights'!$1:$1,0)),"")</f>
        <v>0.04</v>
      </c>
      <c r="AI328" s="31">
        <f>IFERROR(INDEX('Profit and Loss Highlights'!$A:$AAY,MATCH($AA328,'Profit and Loss Highlights'!$B:$B,0),MATCH(AI326,'Profit and Loss Highlights'!$1:$1,0)),"")</f>
        <v>0.05</v>
      </c>
      <c r="AJ328" s="31">
        <f>IFERROR(INDEX('Profit and Loss Highlights'!$A:$AAY,MATCH($AA328,'Profit and Loss Highlights'!$B:$B,0),MATCH(AJ326,'Profit and Loss Highlights'!$1:$1,0)),"")</f>
        <v>0.05</v>
      </c>
      <c r="AK328" s="31">
        <f>IFERROR(INDEX('Profit and Loss Highlights'!$A:$AAY,MATCH($AA328,'Profit and Loss Highlights'!$B:$B,0),MATCH(AK326,'Profit and Loss Highlights'!$1:$1,0)),"")</f>
        <v>0.05</v>
      </c>
      <c r="AL328" s="31">
        <f>IFERROR(INDEX('Profit and Loss Highlights'!$A:$AAY,MATCH($AA328,'Profit and Loss Highlights'!$B:$B,0),MATCH(AL326,'Profit and Loss Highlights'!$1:$1,0)),"")</f>
        <v>0.05</v>
      </c>
      <c r="AM328" s="31">
        <f>IFERROR(INDEX('Profit and Loss Highlights'!$A:$AAY,MATCH($AA328,'Profit and Loss Highlights'!$B:$B,0),MATCH(AM326,'Profit and Loss Highlights'!$1:$1,0)),"")</f>
        <v>0.05</v>
      </c>
      <c r="AN328" s="31">
        <f>IFERROR(INDEX('Profit and Loss Highlights'!$A:$AAY,MATCH($AA328,'Profit and Loss Highlights'!$B:$B,0),MATCH(AN326,'Profit and Loss Highlights'!$1:$1,0)),"")</f>
        <v>0.04</v>
      </c>
      <c r="AO328" s="31">
        <f>IFERROR(INDEX('Profit and Loss Highlights'!$A:$AAY,MATCH($AA328,'Profit and Loss Highlights'!$B:$B,0),MATCH(AO326,'Profit and Loss Highlights'!$1:$1,0)),"")</f>
        <v>0.04</v>
      </c>
      <c r="AP328" s="31">
        <f>IFERROR(INDEX('Profit and Loss Highlights'!$A:$AAY,MATCH($AA328,'Profit and Loss Highlights'!$B:$B,0),MATCH(AP326,'Profit and Loss Highlights'!$1:$1,0)),"")</f>
        <v>0.04</v>
      </c>
      <c r="AQ328" s="31">
        <f>IFERROR(INDEX('Profit and Loss Highlights'!$A:$AAY,MATCH($AA328,'Profit and Loss Highlights'!$B:$B,0),MATCH(AQ326,'Profit and Loss Highlights'!$1:$1,0)),"")</f>
        <v>0.04</v>
      </c>
      <c r="AR328" s="31">
        <f>IFERROR(INDEX('Profit and Loss Highlights'!$A:$AAY,MATCH($AA328,'Profit and Loss Highlights'!$B:$B,0),MATCH(AR326,'Profit and Loss Highlights'!$1:$1,0)),"")</f>
        <v>0.04</v>
      </c>
      <c r="AS328" s="31">
        <f>IFERROR(INDEX('Profit and Loss Highlights'!$A:$AAY,MATCH($AA328,'Profit and Loss Highlights'!$B:$B,0),MATCH(AS326,'Profit and Loss Highlights'!$1:$1,0)),"")</f>
        <v>0.04</v>
      </c>
      <c r="AT328" s="31">
        <f>IFERROR(INDEX('Profit and Loss Highlights'!$A:$AAY,MATCH($AA328,'Profit and Loss Highlights'!$B:$B,0),MATCH(AT326,'Profit and Loss Highlights'!$1:$1,0)),"")</f>
        <v>0.04</v>
      </c>
      <c r="AU328" s="31">
        <f>IFERROR(INDEX('Profit and Loss Highlights'!$A:$AAY,MATCH($AA328,'Profit and Loss Highlights'!$B:$B,0),MATCH(AU326,'Profit and Loss Highlights'!$1:$1,0)),"")</f>
        <v>0.05</v>
      </c>
    </row>
    <row r="329" spans="1:47" x14ac:dyDescent="0.35">
      <c r="A329" s="6"/>
      <c r="B329" s="6"/>
      <c r="C329" s="6"/>
      <c r="D329" s="6"/>
      <c r="E329" s="6"/>
      <c r="F329" s="6"/>
      <c r="G329" s="6"/>
      <c r="H329" s="6"/>
      <c r="I329" s="6"/>
      <c r="J329" s="6"/>
      <c r="K329" s="6"/>
      <c r="L329" s="6"/>
      <c r="M329" s="6"/>
      <c r="N329" s="6"/>
      <c r="O329" s="6"/>
      <c r="P329" s="6"/>
      <c r="Q329" s="6"/>
      <c r="R329" s="6"/>
      <c r="S329" s="6"/>
      <c r="T329" s="6"/>
      <c r="U329" s="6"/>
      <c r="V329" s="6"/>
      <c r="W329" s="6"/>
    </row>
    <row r="330" spans="1:47" x14ac:dyDescent="0.35">
      <c r="A330" s="6"/>
      <c r="B330" s="6"/>
      <c r="C330" s="6"/>
      <c r="D330" s="6"/>
      <c r="E330" s="6"/>
      <c r="F330" s="6"/>
      <c r="G330" s="6"/>
      <c r="H330" s="6"/>
      <c r="I330" s="6"/>
      <c r="J330" s="6"/>
      <c r="K330" s="6"/>
      <c r="L330" s="6"/>
      <c r="M330" s="6"/>
      <c r="N330" s="6"/>
      <c r="O330" s="6"/>
      <c r="P330" s="6"/>
      <c r="Q330" s="6"/>
      <c r="R330" s="6"/>
      <c r="S330" s="6"/>
      <c r="T330" s="6"/>
      <c r="U330" s="6"/>
      <c r="V330" s="6"/>
      <c r="W330" s="6"/>
    </row>
    <row r="331" spans="1:47" x14ac:dyDescent="0.35">
      <c r="A331" s="6"/>
      <c r="B331" s="6"/>
      <c r="C331" s="6"/>
      <c r="D331" s="6"/>
      <c r="E331" s="6"/>
      <c r="F331" s="6"/>
      <c r="G331" s="6"/>
      <c r="H331" s="6"/>
      <c r="I331" s="6"/>
      <c r="J331" s="6"/>
      <c r="K331" s="6"/>
      <c r="L331" s="6"/>
      <c r="M331" s="6"/>
      <c r="N331" s="6"/>
      <c r="O331" s="6"/>
      <c r="P331" s="6"/>
      <c r="Q331" s="6"/>
      <c r="R331" s="6"/>
      <c r="S331" s="6"/>
      <c r="T331" s="6"/>
      <c r="U331" s="6"/>
      <c r="V331" s="6"/>
      <c r="W331" s="6"/>
    </row>
    <row r="332" spans="1:47" x14ac:dyDescent="0.35">
      <c r="A332" s="6"/>
      <c r="B332" s="6"/>
      <c r="C332" s="6"/>
      <c r="D332" s="6"/>
      <c r="E332" s="6"/>
      <c r="F332" s="6"/>
      <c r="G332" s="6"/>
      <c r="H332" s="6"/>
      <c r="I332" s="6"/>
      <c r="J332" s="6"/>
      <c r="K332" s="6"/>
      <c r="L332" s="6"/>
      <c r="M332" s="6"/>
      <c r="N332" s="6"/>
      <c r="O332" s="6"/>
      <c r="P332" s="6"/>
      <c r="Q332" s="6"/>
      <c r="R332" s="6"/>
      <c r="S332" s="6"/>
      <c r="T332" s="6"/>
      <c r="U332" s="6"/>
      <c r="V332" s="6"/>
      <c r="W332" s="6"/>
    </row>
    <row r="333" spans="1:47" x14ac:dyDescent="0.35">
      <c r="A333" s="6"/>
      <c r="B333" s="6"/>
      <c r="C333" s="6"/>
      <c r="D333" s="6"/>
      <c r="E333" s="6"/>
      <c r="F333" s="6"/>
      <c r="G333" s="6"/>
      <c r="H333" s="6"/>
      <c r="I333" s="6"/>
      <c r="J333" s="6"/>
      <c r="K333" s="6"/>
      <c r="L333" s="6"/>
      <c r="M333" s="6"/>
      <c r="N333" s="6"/>
      <c r="O333" s="6"/>
      <c r="P333" s="6"/>
      <c r="Q333" s="6"/>
      <c r="R333" s="6"/>
      <c r="S333" s="6"/>
      <c r="T333" s="6"/>
      <c r="U333" s="6"/>
      <c r="V333" s="6"/>
      <c r="W333" s="6"/>
    </row>
    <row r="334" spans="1:47" x14ac:dyDescent="0.35">
      <c r="A334" s="6"/>
      <c r="B334" s="6"/>
      <c r="C334" s="6"/>
      <c r="D334" s="6"/>
      <c r="E334" s="6"/>
      <c r="F334" s="6"/>
      <c r="G334" s="6"/>
      <c r="H334" s="6"/>
      <c r="I334" s="6"/>
      <c r="J334" s="6"/>
      <c r="K334" s="6"/>
      <c r="L334" s="6"/>
      <c r="M334" s="6"/>
      <c r="N334" s="6"/>
      <c r="O334" s="6"/>
      <c r="P334" s="6"/>
      <c r="Q334" s="6"/>
      <c r="R334" s="6"/>
      <c r="S334" s="6"/>
      <c r="T334" s="6"/>
      <c r="U334" s="6"/>
      <c r="V334" s="6"/>
      <c r="W334" s="6"/>
    </row>
    <row r="335" spans="1:47" x14ac:dyDescent="0.35">
      <c r="A335" s="6"/>
      <c r="B335" s="6"/>
      <c r="C335" s="6"/>
      <c r="D335" s="6"/>
      <c r="E335" s="6"/>
      <c r="F335" s="6"/>
      <c r="G335" s="6"/>
      <c r="H335" s="6"/>
      <c r="I335" s="6"/>
      <c r="J335" s="6"/>
      <c r="K335" s="6"/>
      <c r="L335" s="6"/>
      <c r="M335" s="6"/>
      <c r="N335" s="6"/>
      <c r="O335" s="6"/>
      <c r="P335" s="6"/>
      <c r="Q335" s="6"/>
      <c r="R335" s="6"/>
      <c r="S335" s="6"/>
      <c r="T335" s="6"/>
      <c r="U335" s="6"/>
      <c r="V335" s="6"/>
      <c r="W335" s="6"/>
    </row>
    <row r="336" spans="1:47" x14ac:dyDescent="0.35">
      <c r="A336" s="6"/>
      <c r="B336" s="6"/>
      <c r="C336" s="6"/>
      <c r="D336" s="6"/>
      <c r="E336" s="6"/>
      <c r="F336" s="6"/>
      <c r="G336" s="6"/>
      <c r="H336" s="6"/>
      <c r="I336" s="6"/>
      <c r="J336" s="6"/>
      <c r="K336" s="6"/>
      <c r="L336" s="6"/>
      <c r="M336" s="6"/>
      <c r="N336" s="6"/>
      <c r="O336" s="6"/>
      <c r="P336" s="6"/>
      <c r="Q336" s="6"/>
      <c r="R336" s="6"/>
      <c r="S336" s="6"/>
      <c r="T336" s="6"/>
      <c r="U336" s="6"/>
      <c r="V336" s="6"/>
      <c r="W336" s="6"/>
    </row>
    <row r="337" spans="1:23" x14ac:dyDescent="0.35">
      <c r="A337" s="6"/>
      <c r="B337" s="6"/>
      <c r="C337" s="6"/>
      <c r="D337" s="6"/>
      <c r="E337" s="6"/>
      <c r="F337" s="6"/>
      <c r="G337" s="6"/>
      <c r="H337" s="6"/>
      <c r="I337" s="6"/>
      <c r="J337" s="6"/>
      <c r="K337" s="6"/>
      <c r="L337" s="6"/>
      <c r="M337" s="6"/>
      <c r="N337" s="6"/>
      <c r="O337" s="6"/>
      <c r="P337" s="6"/>
      <c r="Q337" s="6"/>
      <c r="R337" s="6"/>
      <c r="S337" s="6"/>
      <c r="T337" s="6"/>
      <c r="U337" s="6"/>
      <c r="V337" s="6"/>
      <c r="W337" s="6"/>
    </row>
    <row r="338" spans="1:23" x14ac:dyDescent="0.35">
      <c r="A338" s="6"/>
      <c r="B338" s="6"/>
      <c r="C338" s="6"/>
      <c r="D338" s="6"/>
      <c r="E338" s="6"/>
      <c r="F338" s="6"/>
      <c r="G338" s="6"/>
      <c r="H338" s="6"/>
      <c r="I338" s="6"/>
      <c r="J338" s="6"/>
      <c r="K338" s="6"/>
      <c r="L338" s="6"/>
      <c r="M338" s="6"/>
      <c r="N338" s="6"/>
      <c r="O338" s="6"/>
      <c r="P338" s="6"/>
      <c r="Q338" s="6"/>
      <c r="R338" s="6"/>
      <c r="S338" s="6"/>
      <c r="T338" s="6"/>
      <c r="U338" s="6"/>
      <c r="V338" s="6"/>
      <c r="W338" s="6"/>
    </row>
    <row r="339" spans="1:23" x14ac:dyDescent="0.35">
      <c r="A339" s="6"/>
      <c r="B339" s="6"/>
      <c r="C339" s="6"/>
      <c r="D339" s="6"/>
      <c r="E339" s="6"/>
      <c r="F339" s="6"/>
      <c r="G339" s="6"/>
      <c r="H339" s="6"/>
      <c r="I339" s="6"/>
      <c r="J339" s="6"/>
      <c r="K339" s="6"/>
      <c r="L339" s="6"/>
      <c r="M339" s="6"/>
      <c r="N339" s="6"/>
      <c r="O339" s="6"/>
      <c r="P339" s="6"/>
      <c r="Q339" s="6"/>
      <c r="R339" s="6"/>
      <c r="S339" s="6"/>
      <c r="T339" s="6"/>
      <c r="U339" s="6"/>
      <c r="V339" s="6"/>
      <c r="W339" s="6"/>
    </row>
    <row r="340" spans="1:23" x14ac:dyDescent="0.35">
      <c r="A340" s="6"/>
      <c r="B340" s="6"/>
      <c r="C340" s="6"/>
      <c r="D340" s="6"/>
      <c r="E340" s="6"/>
      <c r="F340" s="6"/>
      <c r="G340" s="6"/>
      <c r="H340" s="6"/>
      <c r="I340" s="6"/>
      <c r="J340" s="6"/>
      <c r="K340" s="6"/>
      <c r="L340" s="6"/>
      <c r="M340" s="6"/>
      <c r="N340" s="6"/>
      <c r="O340" s="6"/>
      <c r="P340" s="6"/>
      <c r="Q340" s="6"/>
      <c r="R340" s="6"/>
      <c r="S340" s="6"/>
      <c r="T340" s="6"/>
      <c r="U340" s="6"/>
      <c r="V340" s="6"/>
      <c r="W340" s="6"/>
    </row>
    <row r="341" spans="1:23" x14ac:dyDescent="0.35">
      <c r="A341" s="6"/>
      <c r="B341" s="6"/>
      <c r="C341" s="6"/>
      <c r="D341" s="6"/>
      <c r="E341" s="6"/>
      <c r="F341" s="6"/>
      <c r="G341" s="6"/>
      <c r="H341" s="6"/>
      <c r="I341" s="6"/>
      <c r="J341" s="6"/>
      <c r="K341" s="6"/>
      <c r="L341" s="6"/>
      <c r="M341" s="6"/>
      <c r="N341" s="6"/>
      <c r="O341" s="6"/>
      <c r="P341" s="6"/>
      <c r="Q341" s="6"/>
      <c r="R341" s="6"/>
      <c r="S341" s="6"/>
      <c r="T341" s="6"/>
      <c r="U341" s="6"/>
      <c r="V341" s="6"/>
      <c r="W341" s="6"/>
    </row>
    <row r="342" spans="1:23" x14ac:dyDescent="0.35">
      <c r="A342" s="6"/>
      <c r="B342" s="6"/>
      <c r="C342" s="6"/>
      <c r="D342" s="6"/>
      <c r="E342" s="6"/>
      <c r="F342" s="6"/>
      <c r="G342" s="6"/>
      <c r="H342" s="6"/>
      <c r="I342" s="6"/>
      <c r="J342" s="6"/>
      <c r="K342" s="6"/>
      <c r="L342" s="6"/>
      <c r="M342" s="6"/>
      <c r="N342" s="6"/>
      <c r="O342" s="6"/>
      <c r="P342" s="6"/>
      <c r="Q342" s="6"/>
      <c r="R342" s="6"/>
      <c r="S342" s="6"/>
      <c r="T342" s="6"/>
      <c r="U342" s="6"/>
      <c r="V342" s="6"/>
      <c r="W342" s="6"/>
    </row>
    <row r="343" spans="1:23" x14ac:dyDescent="0.35">
      <c r="A343" s="6"/>
      <c r="B343" s="6"/>
      <c r="C343" s="6"/>
      <c r="D343" s="6"/>
      <c r="E343" s="6"/>
      <c r="F343" s="6"/>
      <c r="G343" s="6"/>
      <c r="H343" s="6"/>
      <c r="I343" s="6"/>
      <c r="J343" s="6"/>
      <c r="K343" s="6"/>
      <c r="L343" s="6"/>
      <c r="M343" s="6"/>
      <c r="N343" s="6"/>
      <c r="O343" s="6"/>
      <c r="P343" s="6"/>
      <c r="Q343" s="6"/>
      <c r="R343" s="6"/>
      <c r="S343" s="6"/>
      <c r="T343" s="6"/>
      <c r="U343" s="6"/>
      <c r="V343" s="6"/>
      <c r="W343" s="6"/>
    </row>
    <row r="344" spans="1:23" x14ac:dyDescent="0.35">
      <c r="A344" s="6"/>
      <c r="B344" s="6"/>
      <c r="C344" s="6"/>
      <c r="D344" s="6"/>
      <c r="E344" s="6"/>
      <c r="F344" s="6"/>
      <c r="G344" s="6"/>
      <c r="H344" s="6"/>
      <c r="I344" s="6"/>
      <c r="J344" s="6"/>
      <c r="K344" s="6"/>
      <c r="L344" s="6"/>
      <c r="M344" s="6"/>
      <c r="N344" s="6"/>
      <c r="O344" s="6"/>
      <c r="P344" s="6"/>
      <c r="Q344" s="6"/>
      <c r="R344" s="6"/>
      <c r="S344" s="6"/>
      <c r="T344" s="6"/>
      <c r="U344" s="6"/>
      <c r="V344" s="6"/>
      <c r="W344" s="6"/>
    </row>
    <row r="345" spans="1:23" x14ac:dyDescent="0.35">
      <c r="A345" s="6"/>
      <c r="B345" s="6"/>
      <c r="C345" s="6"/>
      <c r="D345" s="6"/>
      <c r="E345" s="6"/>
      <c r="F345" s="6"/>
      <c r="G345" s="6"/>
      <c r="H345" s="6"/>
      <c r="I345" s="6"/>
      <c r="J345" s="6"/>
      <c r="K345" s="6"/>
      <c r="L345" s="6"/>
      <c r="M345" s="6"/>
      <c r="N345" s="6"/>
      <c r="O345" s="6"/>
      <c r="P345" s="6"/>
      <c r="Q345" s="6"/>
      <c r="R345" s="6"/>
      <c r="S345" s="6"/>
      <c r="T345" s="6"/>
      <c r="U345" s="6"/>
      <c r="V345" s="6"/>
      <c r="W345" s="6"/>
    </row>
    <row r="346" spans="1:23" x14ac:dyDescent="0.35">
      <c r="A346" s="6"/>
      <c r="B346" s="6"/>
      <c r="C346" s="6"/>
      <c r="D346" s="6"/>
      <c r="E346" s="6"/>
      <c r="F346" s="6"/>
      <c r="G346" s="6"/>
      <c r="H346" s="6"/>
      <c r="I346" s="6"/>
      <c r="J346" s="6"/>
      <c r="K346" s="6"/>
      <c r="L346" s="6"/>
      <c r="M346" s="6"/>
      <c r="N346" s="6"/>
      <c r="O346" s="6"/>
      <c r="P346" s="6"/>
      <c r="Q346" s="6"/>
      <c r="R346" s="6"/>
      <c r="S346" s="6"/>
      <c r="T346" s="6"/>
      <c r="U346" s="6"/>
      <c r="V346" s="6"/>
      <c r="W346" s="6"/>
    </row>
    <row r="347" spans="1:23" x14ac:dyDescent="0.35">
      <c r="A347" s="6"/>
      <c r="B347" s="6"/>
      <c r="C347" s="6"/>
      <c r="D347" s="6"/>
      <c r="E347" s="6"/>
      <c r="F347" s="6"/>
      <c r="G347" s="6"/>
      <c r="H347" s="6"/>
      <c r="I347" s="6"/>
      <c r="J347" s="6"/>
      <c r="K347" s="6"/>
      <c r="L347" s="6"/>
      <c r="M347" s="6"/>
      <c r="N347" s="6"/>
      <c r="O347" s="6"/>
      <c r="P347" s="6"/>
      <c r="Q347" s="6"/>
      <c r="R347" s="6"/>
      <c r="S347" s="6"/>
      <c r="T347" s="6"/>
      <c r="U347" s="6"/>
      <c r="V347" s="6"/>
      <c r="W347" s="6"/>
    </row>
    <row r="348" spans="1:23" x14ac:dyDescent="0.35">
      <c r="A348" s="6"/>
      <c r="B348" s="6"/>
      <c r="C348" s="6"/>
      <c r="D348" s="6"/>
      <c r="E348" s="6"/>
      <c r="F348" s="6"/>
      <c r="G348" s="6"/>
      <c r="H348" s="6"/>
      <c r="I348" s="6"/>
      <c r="J348" s="6"/>
      <c r="K348" s="6"/>
      <c r="L348" s="6"/>
      <c r="M348" s="6"/>
      <c r="N348" s="6"/>
      <c r="O348" s="6"/>
      <c r="P348" s="6"/>
      <c r="Q348" s="6"/>
      <c r="R348" s="6"/>
      <c r="S348" s="6"/>
      <c r="T348" s="6"/>
      <c r="U348" s="6"/>
      <c r="V348" s="6"/>
      <c r="W348" s="6"/>
    </row>
    <row r="349" spans="1:23" x14ac:dyDescent="0.35">
      <c r="A349" s="6"/>
      <c r="B349" s="6"/>
      <c r="C349" s="6"/>
      <c r="D349" s="6"/>
      <c r="E349" s="6"/>
      <c r="F349" s="6"/>
      <c r="G349" s="6"/>
      <c r="H349" s="6"/>
      <c r="I349" s="6"/>
      <c r="J349" s="6"/>
      <c r="K349" s="6"/>
      <c r="L349" s="6"/>
      <c r="M349" s="6"/>
      <c r="N349" s="6"/>
      <c r="O349" s="6"/>
      <c r="P349" s="6"/>
      <c r="Q349" s="6"/>
      <c r="R349" s="6"/>
      <c r="S349" s="6"/>
      <c r="T349" s="6"/>
      <c r="U349" s="6"/>
      <c r="V349" s="6"/>
      <c r="W349" s="6"/>
    </row>
    <row r="350" spans="1:23" x14ac:dyDescent="0.35">
      <c r="A350" s="6"/>
      <c r="B350" s="6"/>
      <c r="C350" s="6"/>
      <c r="D350" s="6"/>
      <c r="E350" s="6"/>
      <c r="F350" s="6"/>
      <c r="G350" s="6"/>
      <c r="H350" s="6"/>
      <c r="I350" s="6"/>
      <c r="J350" s="6"/>
      <c r="K350" s="6"/>
      <c r="L350" s="6"/>
      <c r="M350" s="6"/>
      <c r="N350" s="6"/>
      <c r="O350" s="6"/>
      <c r="P350" s="6"/>
      <c r="Q350" s="6"/>
      <c r="R350" s="6"/>
      <c r="S350" s="6"/>
      <c r="T350" s="6"/>
      <c r="U350" s="6"/>
      <c r="V350" s="6"/>
      <c r="W350" s="6"/>
    </row>
    <row r="351" spans="1:23" x14ac:dyDescent="0.35">
      <c r="A351" s="6"/>
      <c r="B351" s="6"/>
      <c r="C351" s="6"/>
      <c r="D351" s="6"/>
      <c r="E351" s="6"/>
      <c r="F351" s="6"/>
      <c r="G351" s="6"/>
      <c r="H351" s="6"/>
      <c r="I351" s="6"/>
      <c r="J351" s="6"/>
      <c r="K351" s="6"/>
      <c r="L351" s="6"/>
      <c r="M351" s="6"/>
      <c r="N351" s="6"/>
      <c r="O351" s="6"/>
      <c r="P351" s="6"/>
      <c r="Q351" s="6"/>
      <c r="R351" s="6"/>
      <c r="S351" s="6"/>
      <c r="T351" s="6"/>
      <c r="U351" s="6"/>
      <c r="V351" s="6"/>
      <c r="W351" s="6"/>
    </row>
    <row r="352" spans="1:23" x14ac:dyDescent="0.35">
      <c r="A352" s="6"/>
      <c r="B352" s="6"/>
      <c r="C352" s="6"/>
      <c r="D352" s="6"/>
      <c r="E352" s="6"/>
      <c r="F352" s="6"/>
      <c r="G352" s="6"/>
      <c r="H352" s="6"/>
      <c r="I352" s="6"/>
      <c r="J352" s="6"/>
      <c r="K352" s="6"/>
      <c r="L352" s="6"/>
      <c r="M352" s="6"/>
      <c r="N352" s="6"/>
      <c r="O352" s="6"/>
      <c r="P352" s="6"/>
      <c r="Q352" s="6"/>
      <c r="R352" s="6"/>
      <c r="S352" s="6"/>
      <c r="T352" s="6"/>
      <c r="U352" s="6"/>
      <c r="V352" s="6"/>
      <c r="W352" s="6"/>
    </row>
    <row r="353" spans="1:23" x14ac:dyDescent="0.35">
      <c r="A353" s="6"/>
      <c r="B353" s="6"/>
      <c r="C353" s="6"/>
      <c r="D353" s="6"/>
      <c r="E353" s="6"/>
      <c r="F353" s="6"/>
      <c r="G353" s="6"/>
      <c r="H353" s="6"/>
      <c r="I353" s="6"/>
      <c r="J353" s="6"/>
      <c r="K353" s="6"/>
      <c r="L353" s="6"/>
      <c r="M353" s="6"/>
      <c r="N353" s="6"/>
      <c r="O353" s="6"/>
      <c r="P353" s="6"/>
      <c r="Q353" s="6"/>
      <c r="R353" s="6"/>
      <c r="S353" s="6"/>
      <c r="T353" s="6"/>
      <c r="U353" s="6"/>
      <c r="V353" s="6"/>
      <c r="W353" s="6"/>
    </row>
    <row r="354" spans="1:23" x14ac:dyDescent="0.35">
      <c r="A354" s="6"/>
      <c r="B354" s="6"/>
      <c r="C354" s="6"/>
      <c r="D354" s="6"/>
      <c r="E354" s="6"/>
      <c r="F354" s="6"/>
      <c r="G354" s="6"/>
      <c r="H354" s="6"/>
      <c r="I354" s="6"/>
      <c r="J354" s="6"/>
      <c r="K354" s="6"/>
      <c r="L354" s="6"/>
      <c r="M354" s="6"/>
      <c r="N354" s="6"/>
      <c r="O354" s="6"/>
      <c r="P354" s="6"/>
      <c r="Q354" s="6"/>
      <c r="R354" s="6"/>
      <c r="S354" s="6"/>
      <c r="T354" s="6"/>
      <c r="U354" s="6"/>
      <c r="V354" s="6"/>
      <c r="W354" s="6"/>
    </row>
    <row r="355" spans="1:23" x14ac:dyDescent="0.35">
      <c r="A355" s="6"/>
      <c r="B355" s="6"/>
      <c r="C355" s="6"/>
      <c r="D355" s="6"/>
      <c r="E355" s="6"/>
      <c r="F355" s="6"/>
      <c r="G355" s="6"/>
      <c r="H355" s="6"/>
      <c r="I355" s="6"/>
      <c r="J355" s="6"/>
      <c r="K355" s="6"/>
      <c r="L355" s="6"/>
      <c r="M355" s="6"/>
      <c r="N355" s="6"/>
      <c r="O355" s="6"/>
      <c r="P355" s="6"/>
      <c r="Q355" s="6"/>
      <c r="R355" s="6"/>
      <c r="S355" s="6"/>
      <c r="T355" s="6"/>
      <c r="U355" s="6"/>
      <c r="V355" s="6"/>
      <c r="W355" s="6"/>
    </row>
    <row r="356" spans="1:23" x14ac:dyDescent="0.35">
      <c r="A356" s="6"/>
      <c r="B356" s="6"/>
      <c r="C356" s="6"/>
      <c r="D356" s="6"/>
      <c r="E356" s="6"/>
      <c r="F356" s="6"/>
      <c r="G356" s="6"/>
      <c r="H356" s="6"/>
      <c r="I356" s="6"/>
      <c r="J356" s="6"/>
      <c r="K356" s="6"/>
      <c r="L356" s="6"/>
      <c r="M356" s="6"/>
      <c r="N356" s="6"/>
      <c r="O356" s="6"/>
      <c r="P356" s="6"/>
      <c r="Q356" s="6"/>
      <c r="R356" s="6"/>
      <c r="S356" s="6"/>
      <c r="T356" s="6"/>
      <c r="U356" s="6"/>
      <c r="V356" s="6"/>
      <c r="W356" s="6"/>
    </row>
    <row r="357" spans="1:23" x14ac:dyDescent="0.35">
      <c r="A357" s="6"/>
      <c r="B357" s="6"/>
      <c r="C357" s="6"/>
      <c r="D357" s="6"/>
      <c r="E357" s="6"/>
      <c r="F357" s="6"/>
      <c r="G357" s="6"/>
      <c r="H357" s="6"/>
      <c r="I357" s="6"/>
      <c r="J357" s="6"/>
      <c r="K357" s="6"/>
      <c r="L357" s="6"/>
      <c r="M357" s="6"/>
      <c r="N357" s="6"/>
      <c r="O357" s="6"/>
      <c r="P357" s="6"/>
      <c r="Q357" s="6"/>
      <c r="R357" s="6"/>
      <c r="S357" s="6"/>
      <c r="T357" s="6"/>
      <c r="U357" s="6"/>
      <c r="V357" s="6"/>
      <c r="W357" s="6"/>
    </row>
    <row r="358" spans="1:23" x14ac:dyDescent="0.35">
      <c r="A358" s="6"/>
      <c r="B358" s="6"/>
      <c r="C358" s="6"/>
      <c r="D358" s="6"/>
      <c r="E358" s="6"/>
      <c r="F358" s="6"/>
      <c r="G358" s="6"/>
      <c r="H358" s="6"/>
      <c r="I358" s="6"/>
      <c r="J358" s="6"/>
      <c r="K358" s="6"/>
      <c r="L358" s="6"/>
      <c r="M358" s="6"/>
      <c r="N358" s="6"/>
      <c r="O358" s="6"/>
      <c r="P358" s="6"/>
      <c r="Q358" s="6"/>
      <c r="R358" s="6"/>
      <c r="S358" s="6"/>
      <c r="T358" s="6"/>
      <c r="U358" s="6"/>
      <c r="V358" s="6"/>
      <c r="W358" s="6"/>
    </row>
    <row r="359" spans="1:23" x14ac:dyDescent="0.35">
      <c r="A359" s="6"/>
      <c r="B359" s="6"/>
      <c r="C359" s="6"/>
      <c r="D359" s="6"/>
      <c r="E359" s="6"/>
      <c r="F359" s="6"/>
      <c r="G359" s="6"/>
      <c r="H359" s="6"/>
      <c r="I359" s="6"/>
      <c r="J359" s="6"/>
      <c r="K359" s="6"/>
      <c r="L359" s="6"/>
      <c r="M359" s="6"/>
      <c r="N359" s="6"/>
      <c r="O359" s="6"/>
      <c r="P359" s="6"/>
      <c r="Q359" s="6"/>
      <c r="R359" s="6"/>
      <c r="S359" s="6"/>
      <c r="T359" s="6"/>
      <c r="U359" s="6"/>
      <c r="V359" s="6"/>
      <c r="W359" s="6"/>
    </row>
    <row r="360" spans="1:23" x14ac:dyDescent="0.35">
      <c r="A360" s="6"/>
      <c r="B360" s="6"/>
      <c r="C360" s="6"/>
      <c r="D360" s="6"/>
      <c r="E360" s="6"/>
      <c r="F360" s="6"/>
      <c r="G360" s="6"/>
      <c r="H360" s="6"/>
      <c r="I360" s="6"/>
      <c r="J360" s="6"/>
      <c r="K360" s="6"/>
      <c r="L360" s="6"/>
      <c r="M360" s="6"/>
      <c r="N360" s="6"/>
      <c r="O360" s="6"/>
      <c r="P360" s="6"/>
      <c r="Q360" s="6"/>
      <c r="R360" s="6"/>
      <c r="S360" s="6"/>
      <c r="T360" s="6"/>
      <c r="U360" s="6"/>
      <c r="V360" s="6"/>
      <c r="W360" s="6"/>
    </row>
    <row r="361" spans="1:23" x14ac:dyDescent="0.35">
      <c r="A361" s="6"/>
      <c r="B361" s="6"/>
      <c r="C361" s="6"/>
      <c r="D361" s="6"/>
      <c r="E361" s="6"/>
      <c r="F361" s="6"/>
      <c r="G361" s="6"/>
      <c r="H361" s="6"/>
      <c r="I361" s="6"/>
      <c r="J361" s="6"/>
      <c r="K361" s="6"/>
      <c r="L361" s="6"/>
      <c r="M361" s="6"/>
      <c r="N361" s="6"/>
      <c r="O361" s="6"/>
      <c r="P361" s="6"/>
      <c r="Q361" s="6"/>
      <c r="R361" s="6"/>
      <c r="S361" s="6"/>
      <c r="T361" s="6"/>
      <c r="U361" s="6"/>
      <c r="V361" s="6"/>
      <c r="W361" s="6"/>
    </row>
    <row r="362" spans="1:23" x14ac:dyDescent="0.35">
      <c r="A362" s="6"/>
      <c r="B362" s="6"/>
      <c r="C362" s="6"/>
      <c r="D362" s="6"/>
      <c r="E362" s="6"/>
      <c r="F362" s="6"/>
      <c r="G362" s="6"/>
      <c r="H362" s="6"/>
      <c r="I362" s="6"/>
      <c r="J362" s="6"/>
      <c r="K362" s="6"/>
      <c r="L362" s="6"/>
      <c r="M362" s="6"/>
      <c r="N362" s="6"/>
      <c r="O362" s="6"/>
      <c r="P362" s="6"/>
      <c r="Q362" s="6"/>
      <c r="R362" s="6"/>
      <c r="S362" s="6"/>
      <c r="T362" s="6"/>
      <c r="U362" s="6"/>
      <c r="V362" s="6"/>
      <c r="W362" s="6"/>
    </row>
    <row r="363" spans="1:23" x14ac:dyDescent="0.35">
      <c r="A363" s="6"/>
      <c r="B363" s="6"/>
      <c r="C363" s="6"/>
      <c r="D363" s="6"/>
      <c r="E363" s="6"/>
      <c r="F363" s="6"/>
      <c r="G363" s="6"/>
      <c r="H363" s="6"/>
      <c r="I363" s="6"/>
      <c r="J363" s="6"/>
      <c r="K363" s="6"/>
      <c r="L363" s="6"/>
      <c r="M363" s="6"/>
      <c r="N363" s="6"/>
      <c r="O363" s="6"/>
      <c r="P363" s="6"/>
      <c r="Q363" s="6"/>
      <c r="R363" s="6"/>
      <c r="S363" s="6"/>
      <c r="T363" s="6"/>
      <c r="U363" s="6"/>
      <c r="V363" s="6"/>
      <c r="W363" s="6"/>
    </row>
    <row r="364" spans="1:23" x14ac:dyDescent="0.35">
      <c r="A364" s="6"/>
      <c r="B364" s="6"/>
      <c r="C364" s="6"/>
      <c r="D364" s="6"/>
      <c r="E364" s="6"/>
      <c r="F364" s="6"/>
      <c r="G364" s="6"/>
      <c r="H364" s="6"/>
      <c r="I364" s="6"/>
      <c r="J364" s="6"/>
      <c r="K364" s="6"/>
      <c r="L364" s="6"/>
      <c r="M364" s="6"/>
      <c r="N364" s="6"/>
      <c r="O364" s="6"/>
      <c r="P364" s="6"/>
      <c r="Q364" s="6"/>
      <c r="R364" s="6"/>
      <c r="S364" s="6"/>
      <c r="T364" s="6"/>
      <c r="U364" s="6"/>
      <c r="V364" s="6"/>
      <c r="W364" s="6"/>
    </row>
    <row r="365" spans="1:23" x14ac:dyDescent="0.35">
      <c r="A365" s="6"/>
      <c r="B365" s="6"/>
      <c r="C365" s="6"/>
      <c r="D365" s="6"/>
      <c r="E365" s="6"/>
      <c r="F365" s="6"/>
      <c r="G365" s="6"/>
      <c r="H365" s="6"/>
      <c r="I365" s="6"/>
      <c r="J365" s="6"/>
      <c r="K365" s="6"/>
      <c r="L365" s="6"/>
      <c r="M365" s="6"/>
      <c r="N365" s="6"/>
      <c r="O365" s="6"/>
      <c r="P365" s="6"/>
      <c r="Q365" s="6"/>
      <c r="R365" s="6"/>
      <c r="S365" s="6"/>
      <c r="T365" s="6"/>
      <c r="U365" s="6"/>
      <c r="V365" s="6"/>
      <c r="W365" s="6"/>
    </row>
    <row r="366" spans="1:23" x14ac:dyDescent="0.35">
      <c r="A366" s="6"/>
      <c r="B366" s="6"/>
      <c r="C366" s="6"/>
      <c r="D366" s="6"/>
      <c r="E366" s="6"/>
      <c r="F366" s="6"/>
      <c r="G366" s="6"/>
      <c r="H366" s="6"/>
      <c r="I366" s="6"/>
      <c r="J366" s="6"/>
      <c r="K366" s="6"/>
      <c r="L366" s="6"/>
      <c r="M366" s="6"/>
      <c r="N366" s="6"/>
      <c r="O366" s="6"/>
      <c r="P366" s="6"/>
      <c r="Q366" s="6"/>
      <c r="R366" s="6"/>
      <c r="S366" s="6"/>
      <c r="T366" s="6"/>
      <c r="U366" s="6"/>
      <c r="V366" s="6"/>
      <c r="W366" s="6"/>
    </row>
    <row r="367" spans="1:23" x14ac:dyDescent="0.35">
      <c r="A367" s="6"/>
      <c r="B367" s="6"/>
      <c r="C367" s="6"/>
      <c r="D367" s="6"/>
      <c r="E367" s="6"/>
      <c r="F367" s="6"/>
      <c r="G367" s="6"/>
      <c r="H367" s="6"/>
      <c r="I367" s="6"/>
      <c r="J367" s="6"/>
      <c r="K367" s="6"/>
      <c r="L367" s="6"/>
      <c r="M367" s="6"/>
      <c r="N367" s="6"/>
      <c r="O367" s="6"/>
      <c r="P367" s="6"/>
      <c r="Q367" s="6"/>
      <c r="R367" s="6"/>
      <c r="S367" s="6"/>
      <c r="T367" s="6"/>
      <c r="U367" s="6"/>
      <c r="V367" s="6"/>
      <c r="W367" s="6"/>
    </row>
    <row r="368" spans="1:23" x14ac:dyDescent="0.35">
      <c r="A368" s="6"/>
      <c r="B368" s="6"/>
      <c r="C368" s="6"/>
      <c r="D368" s="6"/>
      <c r="E368" s="6"/>
      <c r="F368" s="6"/>
      <c r="G368" s="6"/>
      <c r="H368" s="6"/>
      <c r="I368" s="6"/>
      <c r="J368" s="6"/>
      <c r="K368" s="6"/>
      <c r="L368" s="6"/>
      <c r="M368" s="6"/>
      <c r="N368" s="6"/>
      <c r="O368" s="6"/>
      <c r="P368" s="6"/>
      <c r="Q368" s="6"/>
      <c r="R368" s="6"/>
      <c r="S368" s="6"/>
      <c r="T368" s="6"/>
      <c r="U368" s="6"/>
      <c r="V368" s="6"/>
      <c r="W368" s="6"/>
    </row>
    <row r="369" spans="1:23" x14ac:dyDescent="0.35">
      <c r="A369" s="6"/>
      <c r="B369" s="6"/>
      <c r="C369" s="6"/>
      <c r="D369" s="6"/>
      <c r="E369" s="6"/>
      <c r="F369" s="6"/>
      <c r="G369" s="6"/>
      <c r="H369" s="6"/>
      <c r="I369" s="6"/>
      <c r="J369" s="6"/>
      <c r="K369" s="6"/>
      <c r="L369" s="6"/>
      <c r="M369" s="6"/>
      <c r="N369" s="6"/>
      <c r="O369" s="6"/>
      <c r="P369" s="6"/>
      <c r="Q369" s="6"/>
      <c r="R369" s="6"/>
      <c r="S369" s="6"/>
      <c r="T369" s="6"/>
      <c r="U369" s="6"/>
      <c r="V369" s="6"/>
      <c r="W369" s="6"/>
    </row>
    <row r="370" spans="1:23" x14ac:dyDescent="0.35">
      <c r="A370" s="6"/>
      <c r="B370" s="6"/>
      <c r="C370" s="6"/>
      <c r="D370" s="6"/>
      <c r="E370" s="6"/>
      <c r="F370" s="6"/>
      <c r="G370" s="6"/>
      <c r="H370" s="6"/>
      <c r="I370" s="6"/>
      <c r="J370" s="6"/>
      <c r="K370" s="6"/>
      <c r="L370" s="6"/>
      <c r="M370" s="6"/>
      <c r="N370" s="6"/>
      <c r="O370" s="6"/>
      <c r="P370" s="6"/>
      <c r="Q370" s="6"/>
      <c r="R370" s="6"/>
      <c r="S370" s="6"/>
      <c r="T370" s="6"/>
      <c r="U370" s="6"/>
      <c r="V370" s="6"/>
      <c r="W370" s="6"/>
    </row>
    <row r="371" spans="1:23" x14ac:dyDescent="0.35">
      <c r="A371" s="6"/>
      <c r="B371" s="6"/>
      <c r="C371" s="6"/>
      <c r="D371" s="6"/>
      <c r="E371" s="6"/>
      <c r="F371" s="6"/>
      <c r="G371" s="6"/>
      <c r="H371" s="6"/>
      <c r="I371" s="6"/>
      <c r="J371" s="6"/>
      <c r="K371" s="6"/>
      <c r="L371" s="6"/>
      <c r="M371" s="6"/>
      <c r="N371" s="6"/>
      <c r="O371" s="6"/>
      <c r="P371" s="6"/>
      <c r="Q371" s="6"/>
      <c r="R371" s="6"/>
      <c r="S371" s="6"/>
      <c r="T371" s="6"/>
      <c r="U371" s="6"/>
      <c r="V371" s="6"/>
      <c r="W371" s="6"/>
    </row>
    <row r="372" spans="1:23" x14ac:dyDescent="0.35">
      <c r="A372" s="6"/>
      <c r="B372" s="6"/>
      <c r="C372" s="6"/>
      <c r="D372" s="6"/>
      <c r="E372" s="6"/>
      <c r="F372" s="6"/>
      <c r="G372" s="6"/>
      <c r="H372" s="6"/>
      <c r="I372" s="6"/>
      <c r="J372" s="6"/>
      <c r="K372" s="6"/>
      <c r="L372" s="6"/>
      <c r="M372" s="6"/>
      <c r="N372" s="6"/>
      <c r="O372" s="6"/>
      <c r="P372" s="6"/>
      <c r="Q372" s="6"/>
      <c r="R372" s="6"/>
      <c r="S372" s="6"/>
      <c r="T372" s="6"/>
      <c r="U372" s="6"/>
      <c r="V372" s="6"/>
      <c r="W372" s="6"/>
    </row>
    <row r="373" spans="1:23" x14ac:dyDescent="0.35">
      <c r="A373" s="6"/>
      <c r="B373" s="6"/>
      <c r="C373" s="6"/>
      <c r="D373" s="6"/>
      <c r="E373" s="6"/>
      <c r="F373" s="6"/>
      <c r="G373" s="6"/>
      <c r="H373" s="6"/>
      <c r="I373" s="6"/>
      <c r="J373" s="6"/>
      <c r="K373" s="6"/>
      <c r="L373" s="6"/>
      <c r="M373" s="6"/>
      <c r="N373" s="6"/>
      <c r="O373" s="6"/>
      <c r="P373" s="6"/>
      <c r="Q373" s="6"/>
      <c r="R373" s="6"/>
      <c r="S373" s="6"/>
      <c r="T373" s="6"/>
      <c r="U373" s="6"/>
      <c r="V373" s="6"/>
      <c r="W373" s="6"/>
    </row>
    <row r="374" spans="1:23" x14ac:dyDescent="0.35">
      <c r="A374" s="6"/>
      <c r="B374" s="6"/>
      <c r="C374" s="6"/>
      <c r="D374" s="6"/>
      <c r="E374" s="6"/>
      <c r="F374" s="6"/>
      <c r="G374" s="6"/>
      <c r="H374" s="6"/>
      <c r="I374" s="6"/>
      <c r="J374" s="6"/>
      <c r="K374" s="6"/>
      <c r="L374" s="6"/>
      <c r="M374" s="6"/>
      <c r="N374" s="6"/>
      <c r="O374" s="6"/>
      <c r="P374" s="6"/>
      <c r="Q374" s="6"/>
      <c r="R374" s="6"/>
      <c r="S374" s="6"/>
      <c r="T374" s="6"/>
      <c r="U374" s="6"/>
      <c r="V374" s="6"/>
      <c r="W374" s="6"/>
    </row>
    <row r="375" spans="1:23" x14ac:dyDescent="0.35">
      <c r="A375" s="6"/>
      <c r="B375" s="6"/>
      <c r="C375" s="6"/>
      <c r="D375" s="6"/>
      <c r="E375" s="6"/>
      <c r="F375" s="6"/>
      <c r="G375" s="6"/>
      <c r="H375" s="6"/>
      <c r="I375" s="6"/>
      <c r="J375" s="6"/>
      <c r="K375" s="6"/>
      <c r="L375" s="6"/>
      <c r="M375" s="6"/>
      <c r="N375" s="6"/>
      <c r="O375" s="6"/>
      <c r="P375" s="6"/>
      <c r="Q375" s="6"/>
      <c r="R375" s="6"/>
      <c r="S375" s="6"/>
      <c r="T375" s="6"/>
      <c r="U375" s="6"/>
      <c r="V375" s="6"/>
      <c r="W375" s="6"/>
    </row>
    <row r="376" spans="1:23" x14ac:dyDescent="0.35">
      <c r="A376" s="6"/>
      <c r="B376" s="6"/>
      <c r="C376" s="6"/>
      <c r="D376" s="6"/>
      <c r="E376" s="6"/>
      <c r="F376" s="6"/>
      <c r="G376" s="6"/>
      <c r="H376" s="6"/>
      <c r="I376" s="6"/>
      <c r="J376" s="6"/>
      <c r="K376" s="6"/>
      <c r="L376" s="6"/>
      <c r="M376" s="6"/>
      <c r="N376" s="6"/>
      <c r="O376" s="6"/>
      <c r="P376" s="6"/>
      <c r="Q376" s="6"/>
      <c r="R376" s="6"/>
      <c r="S376" s="6"/>
      <c r="T376" s="6"/>
      <c r="U376" s="6"/>
      <c r="V376" s="6"/>
      <c r="W376" s="6"/>
    </row>
    <row r="377" spans="1:23" x14ac:dyDescent="0.35">
      <c r="A377" s="6"/>
      <c r="B377" s="6"/>
      <c r="C377" s="6"/>
      <c r="D377" s="6"/>
      <c r="E377" s="6"/>
      <c r="F377" s="6"/>
      <c r="G377" s="6"/>
      <c r="H377" s="6"/>
      <c r="I377" s="6"/>
      <c r="J377" s="6"/>
      <c r="K377" s="6"/>
      <c r="L377" s="6"/>
      <c r="M377" s="6"/>
      <c r="N377" s="6"/>
      <c r="O377" s="6"/>
      <c r="P377" s="6"/>
      <c r="Q377" s="6"/>
      <c r="R377" s="6"/>
      <c r="S377" s="6"/>
      <c r="T377" s="6"/>
      <c r="U377" s="6"/>
      <c r="V377" s="6"/>
      <c r="W377" s="6"/>
    </row>
    <row r="378" spans="1:23" x14ac:dyDescent="0.35">
      <c r="A378" s="6"/>
      <c r="B378" s="6"/>
      <c r="C378" s="6"/>
      <c r="D378" s="6"/>
      <c r="E378" s="6"/>
      <c r="F378" s="6"/>
      <c r="G378" s="6"/>
      <c r="H378" s="6"/>
      <c r="I378" s="6"/>
      <c r="J378" s="6"/>
      <c r="K378" s="6"/>
      <c r="L378" s="6"/>
      <c r="M378" s="6"/>
      <c r="N378" s="6"/>
      <c r="O378" s="6"/>
      <c r="P378" s="6"/>
      <c r="Q378" s="6"/>
      <c r="R378" s="6"/>
      <c r="S378" s="6"/>
      <c r="T378" s="6"/>
      <c r="U378" s="6"/>
      <c r="V378" s="6"/>
      <c r="W378" s="6"/>
    </row>
    <row r="379" spans="1:23" x14ac:dyDescent="0.35">
      <c r="A379" s="6"/>
      <c r="B379" s="6"/>
      <c r="C379" s="6"/>
      <c r="D379" s="6"/>
      <c r="E379" s="6"/>
      <c r="F379" s="6"/>
      <c r="G379" s="6"/>
      <c r="H379" s="6"/>
      <c r="I379" s="6"/>
      <c r="J379" s="6"/>
      <c r="K379" s="6"/>
      <c r="L379" s="6"/>
      <c r="M379" s="6"/>
      <c r="N379" s="6"/>
      <c r="O379" s="6"/>
      <c r="P379" s="6"/>
      <c r="Q379" s="6"/>
      <c r="R379" s="6"/>
      <c r="S379" s="6"/>
      <c r="T379" s="6"/>
      <c r="U379" s="6"/>
      <c r="V379" s="6"/>
      <c r="W379" s="6"/>
    </row>
    <row r="380" spans="1:23" x14ac:dyDescent="0.35">
      <c r="A380" s="6"/>
      <c r="B380" s="6"/>
      <c r="C380" s="6"/>
      <c r="D380" s="6"/>
      <c r="E380" s="6"/>
      <c r="F380" s="6"/>
      <c r="G380" s="6"/>
      <c r="H380" s="6"/>
      <c r="I380" s="6"/>
      <c r="J380" s="6"/>
      <c r="K380" s="6"/>
      <c r="L380" s="6"/>
      <c r="M380" s="6"/>
      <c r="N380" s="6"/>
      <c r="O380" s="6"/>
      <c r="P380" s="6"/>
      <c r="Q380" s="6"/>
      <c r="R380" s="6"/>
      <c r="S380" s="6"/>
      <c r="T380" s="6"/>
      <c r="U380" s="6"/>
      <c r="V380" s="6"/>
      <c r="W380" s="6"/>
    </row>
    <row r="381" spans="1:23" x14ac:dyDescent="0.35">
      <c r="A381" s="6"/>
      <c r="B381" s="6"/>
      <c r="C381" s="6"/>
      <c r="D381" s="6"/>
      <c r="E381" s="6"/>
      <c r="F381" s="6"/>
      <c r="G381" s="6"/>
      <c r="H381" s="6"/>
      <c r="I381" s="6"/>
      <c r="J381" s="6"/>
      <c r="K381" s="6"/>
      <c r="L381" s="6"/>
      <c r="M381" s="6"/>
      <c r="N381" s="6"/>
      <c r="O381" s="6"/>
      <c r="P381" s="6"/>
      <c r="Q381" s="6"/>
      <c r="R381" s="6"/>
      <c r="S381" s="6"/>
      <c r="T381" s="6"/>
      <c r="U381" s="6"/>
      <c r="V381" s="6"/>
      <c r="W381" s="6"/>
    </row>
    <row r="382" spans="1:23" x14ac:dyDescent="0.35">
      <c r="A382" s="6"/>
      <c r="B382" s="6"/>
      <c r="C382" s="6"/>
      <c r="D382" s="6"/>
      <c r="E382" s="6"/>
      <c r="F382" s="6"/>
      <c r="G382" s="6"/>
      <c r="H382" s="6"/>
      <c r="I382" s="6"/>
      <c r="J382" s="6"/>
      <c r="K382" s="6"/>
      <c r="L382" s="6"/>
      <c r="M382" s="6"/>
      <c r="N382" s="6"/>
      <c r="O382" s="6"/>
      <c r="P382" s="6"/>
      <c r="Q382" s="6"/>
      <c r="R382" s="6"/>
      <c r="S382" s="6"/>
      <c r="T382" s="6"/>
      <c r="U382" s="6"/>
      <c r="V382" s="6"/>
      <c r="W382" s="6"/>
    </row>
    <row r="383" spans="1:23" x14ac:dyDescent="0.35">
      <c r="A383" s="6"/>
      <c r="B383" s="6"/>
      <c r="C383" s="6"/>
      <c r="D383" s="6"/>
      <c r="E383" s="6"/>
      <c r="F383" s="6"/>
      <c r="G383" s="6"/>
      <c r="H383" s="6"/>
      <c r="I383" s="6"/>
      <c r="J383" s="6"/>
      <c r="K383" s="6"/>
      <c r="L383" s="6"/>
      <c r="M383" s="6"/>
      <c r="N383" s="6"/>
      <c r="O383" s="6"/>
      <c r="P383" s="6"/>
      <c r="Q383" s="6"/>
      <c r="R383" s="6"/>
      <c r="S383" s="6"/>
      <c r="T383" s="6"/>
      <c r="U383" s="6"/>
      <c r="V383" s="6"/>
      <c r="W383" s="6"/>
    </row>
    <row r="384" spans="1:23" x14ac:dyDescent="0.35">
      <c r="A384" s="6"/>
      <c r="B384" s="6"/>
      <c r="C384" s="6"/>
      <c r="D384" s="6"/>
      <c r="E384" s="6"/>
      <c r="F384" s="6"/>
      <c r="G384" s="6"/>
      <c r="H384" s="6"/>
      <c r="I384" s="6"/>
      <c r="J384" s="6"/>
      <c r="K384" s="6"/>
      <c r="L384" s="6"/>
      <c r="M384" s="6"/>
      <c r="N384" s="6"/>
      <c r="O384" s="6"/>
      <c r="P384" s="6"/>
      <c r="Q384" s="6"/>
      <c r="R384" s="6"/>
      <c r="S384" s="6"/>
      <c r="T384" s="6"/>
      <c r="U384" s="6"/>
      <c r="V384" s="6"/>
      <c r="W384" s="6"/>
    </row>
    <row r="385" spans="1:23" x14ac:dyDescent="0.35">
      <c r="A385" s="6"/>
      <c r="B385" s="6"/>
      <c r="C385" s="6"/>
      <c r="D385" s="6"/>
      <c r="E385" s="6"/>
      <c r="F385" s="6"/>
      <c r="G385" s="6"/>
      <c r="H385" s="6"/>
      <c r="I385" s="6"/>
      <c r="J385" s="6"/>
      <c r="K385" s="6"/>
      <c r="L385" s="6"/>
      <c r="M385" s="6"/>
      <c r="N385" s="6"/>
      <c r="O385" s="6"/>
      <c r="P385" s="6"/>
      <c r="Q385" s="6"/>
      <c r="R385" s="6"/>
      <c r="S385" s="6"/>
      <c r="T385" s="6"/>
      <c r="U385" s="6"/>
      <c r="V385" s="6"/>
      <c r="W385" s="6"/>
    </row>
    <row r="386" spans="1:23" x14ac:dyDescent="0.35">
      <c r="A386" s="6"/>
      <c r="B386" s="6"/>
      <c r="C386" s="6"/>
      <c r="D386" s="6"/>
      <c r="E386" s="6"/>
      <c r="F386" s="6"/>
      <c r="G386" s="6"/>
      <c r="H386" s="6"/>
      <c r="I386" s="6"/>
      <c r="J386" s="6"/>
      <c r="K386" s="6"/>
      <c r="L386" s="6"/>
      <c r="M386" s="6"/>
      <c r="N386" s="6"/>
      <c r="O386" s="6"/>
      <c r="P386" s="6"/>
      <c r="Q386" s="6"/>
      <c r="R386" s="6"/>
      <c r="S386" s="6"/>
      <c r="T386" s="6"/>
      <c r="U386" s="6"/>
      <c r="V386" s="6"/>
      <c r="W386" s="6"/>
    </row>
    <row r="387" spans="1:23" x14ac:dyDescent="0.35">
      <c r="A387" s="6"/>
      <c r="B387" s="6"/>
      <c r="C387" s="6"/>
      <c r="D387" s="6"/>
      <c r="E387" s="6"/>
      <c r="F387" s="6"/>
      <c r="G387" s="6"/>
      <c r="H387" s="6"/>
      <c r="I387" s="6"/>
      <c r="J387" s="6"/>
      <c r="K387" s="6"/>
      <c r="L387" s="6"/>
      <c r="M387" s="6"/>
      <c r="N387" s="6"/>
      <c r="O387" s="6"/>
      <c r="P387" s="6"/>
      <c r="Q387" s="6"/>
      <c r="R387" s="6"/>
      <c r="S387" s="6"/>
      <c r="T387" s="6"/>
      <c r="U387" s="6"/>
      <c r="V387" s="6"/>
      <c r="W387" s="6"/>
    </row>
    <row r="388" spans="1:23" x14ac:dyDescent="0.35">
      <c r="A388" s="6"/>
      <c r="B388" s="6"/>
      <c r="C388" s="6"/>
      <c r="D388" s="6"/>
      <c r="E388" s="6"/>
      <c r="F388" s="6"/>
      <c r="G388" s="6"/>
      <c r="H388" s="6"/>
      <c r="I388" s="6"/>
      <c r="J388" s="6"/>
      <c r="K388" s="6"/>
      <c r="L388" s="6"/>
      <c r="M388" s="6"/>
      <c r="N388" s="6"/>
      <c r="O388" s="6"/>
      <c r="P388" s="6"/>
      <c r="Q388" s="6"/>
      <c r="R388" s="6"/>
      <c r="S388" s="6"/>
      <c r="T388" s="6"/>
      <c r="U388" s="6"/>
      <c r="V388" s="6"/>
      <c r="W388" s="6"/>
    </row>
    <row r="389" spans="1:23" x14ac:dyDescent="0.35">
      <c r="A389" s="6"/>
      <c r="B389" s="6"/>
      <c r="C389" s="6"/>
      <c r="D389" s="6"/>
      <c r="E389" s="6"/>
      <c r="F389" s="6"/>
      <c r="G389" s="6"/>
      <c r="H389" s="6"/>
      <c r="I389" s="6"/>
      <c r="J389" s="6"/>
      <c r="K389" s="6"/>
      <c r="L389" s="6"/>
      <c r="M389" s="6"/>
      <c r="N389" s="6"/>
      <c r="O389" s="6"/>
      <c r="P389" s="6"/>
      <c r="Q389" s="6"/>
      <c r="R389" s="6"/>
      <c r="S389" s="6"/>
      <c r="T389" s="6"/>
      <c r="U389" s="6"/>
      <c r="V389" s="6"/>
      <c r="W389" s="6"/>
    </row>
    <row r="390" spans="1:23" x14ac:dyDescent="0.35">
      <c r="A390" s="6"/>
      <c r="B390" s="6"/>
      <c r="C390" s="6"/>
      <c r="D390" s="6"/>
      <c r="E390" s="6"/>
      <c r="F390" s="6"/>
      <c r="G390" s="6"/>
      <c r="H390" s="6"/>
      <c r="I390" s="6"/>
      <c r="J390" s="6"/>
      <c r="K390" s="6"/>
      <c r="L390" s="6"/>
      <c r="M390" s="6"/>
      <c r="N390" s="6"/>
      <c r="O390" s="6"/>
      <c r="P390" s="6"/>
      <c r="Q390" s="6"/>
      <c r="R390" s="6"/>
      <c r="S390" s="6"/>
      <c r="T390" s="6"/>
      <c r="U390" s="6"/>
      <c r="V390" s="6"/>
      <c r="W390" s="6"/>
    </row>
    <row r="391" spans="1:23" x14ac:dyDescent="0.35">
      <c r="A391" s="6"/>
      <c r="B391" s="6"/>
      <c r="C391" s="6"/>
      <c r="D391" s="6"/>
      <c r="E391" s="6"/>
      <c r="F391" s="6"/>
      <c r="G391" s="6"/>
      <c r="H391" s="6"/>
      <c r="I391" s="6"/>
      <c r="J391" s="6"/>
      <c r="K391" s="6"/>
      <c r="L391" s="6"/>
      <c r="M391" s="6"/>
      <c r="N391" s="6"/>
      <c r="O391" s="6"/>
      <c r="P391" s="6"/>
      <c r="Q391" s="6"/>
      <c r="R391" s="6"/>
      <c r="S391" s="6"/>
      <c r="T391" s="6"/>
      <c r="U391" s="6"/>
      <c r="V391" s="6"/>
      <c r="W391" s="6"/>
    </row>
    <row r="392" spans="1:23" x14ac:dyDescent="0.35">
      <c r="A392" s="6"/>
      <c r="B392" s="6"/>
      <c r="C392" s="6"/>
      <c r="D392" s="6"/>
      <c r="E392" s="6"/>
      <c r="F392" s="6"/>
      <c r="G392" s="6"/>
      <c r="H392" s="6"/>
      <c r="I392" s="6"/>
      <c r="J392" s="6"/>
      <c r="K392" s="6"/>
      <c r="L392" s="6"/>
      <c r="M392" s="6"/>
      <c r="N392" s="6"/>
      <c r="O392" s="6"/>
      <c r="P392" s="6"/>
      <c r="Q392" s="6"/>
      <c r="R392" s="6"/>
      <c r="S392" s="6"/>
      <c r="T392" s="6"/>
      <c r="U392" s="6"/>
      <c r="V392" s="6"/>
      <c r="W392" s="6"/>
    </row>
    <row r="393" spans="1:23" x14ac:dyDescent="0.35">
      <c r="A393" s="6"/>
      <c r="B393" s="6"/>
      <c r="C393" s="6"/>
      <c r="D393" s="6"/>
      <c r="E393" s="6"/>
      <c r="F393" s="6"/>
      <c r="G393" s="6"/>
      <c r="H393" s="6"/>
      <c r="I393" s="6"/>
      <c r="J393" s="6"/>
      <c r="K393" s="6"/>
      <c r="L393" s="6"/>
      <c r="M393" s="6"/>
      <c r="N393" s="6"/>
      <c r="O393" s="6"/>
      <c r="P393" s="6"/>
      <c r="Q393" s="6"/>
      <c r="R393" s="6"/>
      <c r="S393" s="6"/>
      <c r="T393" s="6"/>
      <c r="U393" s="6"/>
      <c r="V393" s="6"/>
      <c r="W393" s="6"/>
    </row>
    <row r="394" spans="1:23" x14ac:dyDescent="0.35">
      <c r="A394" s="6"/>
      <c r="B394" s="6"/>
      <c r="C394" s="6"/>
      <c r="D394" s="6"/>
      <c r="E394" s="6"/>
      <c r="F394" s="6"/>
      <c r="G394" s="6"/>
      <c r="H394" s="6"/>
      <c r="I394" s="6"/>
      <c r="J394" s="6"/>
      <c r="K394" s="6"/>
      <c r="L394" s="6"/>
      <c r="M394" s="6"/>
      <c r="N394" s="6"/>
      <c r="O394" s="6"/>
      <c r="P394" s="6"/>
      <c r="Q394" s="6"/>
      <c r="R394" s="6"/>
      <c r="S394" s="6"/>
      <c r="T394" s="6"/>
      <c r="U394" s="6"/>
      <c r="V394" s="6"/>
      <c r="W394" s="6"/>
    </row>
    <row r="395" spans="1:23" x14ac:dyDescent="0.35">
      <c r="A395" s="6"/>
      <c r="B395" s="6"/>
      <c r="C395" s="6"/>
      <c r="D395" s="6"/>
      <c r="E395" s="6"/>
      <c r="F395" s="6"/>
      <c r="G395" s="6"/>
      <c r="H395" s="6"/>
      <c r="I395" s="6"/>
      <c r="J395" s="6"/>
      <c r="K395" s="6"/>
      <c r="L395" s="6"/>
      <c r="M395" s="6"/>
      <c r="N395" s="6"/>
      <c r="O395" s="6"/>
      <c r="P395" s="6"/>
      <c r="Q395" s="6"/>
      <c r="R395" s="6"/>
      <c r="S395" s="6"/>
      <c r="T395" s="6"/>
      <c r="U395" s="6"/>
      <c r="V395" s="6"/>
      <c r="W395" s="6"/>
    </row>
    <row r="396" spans="1:23" x14ac:dyDescent="0.35">
      <c r="A396" s="6"/>
      <c r="B396" s="6"/>
      <c r="C396" s="6"/>
      <c r="D396" s="6"/>
      <c r="E396" s="6"/>
      <c r="F396" s="6"/>
      <c r="G396" s="6"/>
      <c r="H396" s="6"/>
      <c r="I396" s="6"/>
      <c r="J396" s="6"/>
      <c r="K396" s="6"/>
      <c r="L396" s="6"/>
      <c r="M396" s="6"/>
      <c r="N396" s="6"/>
      <c r="O396" s="6"/>
      <c r="P396" s="6"/>
      <c r="Q396" s="6"/>
      <c r="R396" s="6"/>
      <c r="S396" s="6"/>
      <c r="T396" s="6"/>
      <c r="U396" s="6"/>
      <c r="V396" s="6"/>
      <c r="W396" s="6"/>
    </row>
    <row r="397" spans="1:23" x14ac:dyDescent="0.35">
      <c r="A397" s="6"/>
      <c r="B397" s="6"/>
      <c r="C397" s="6"/>
      <c r="D397" s="6"/>
      <c r="E397" s="6"/>
      <c r="F397" s="6"/>
      <c r="G397" s="6"/>
      <c r="H397" s="6"/>
      <c r="I397" s="6"/>
      <c r="J397" s="6"/>
      <c r="K397" s="6"/>
      <c r="L397" s="6"/>
      <c r="M397" s="6"/>
      <c r="N397" s="6"/>
      <c r="O397" s="6"/>
      <c r="P397" s="6"/>
      <c r="Q397" s="6"/>
      <c r="R397" s="6"/>
      <c r="S397" s="6"/>
      <c r="T397" s="6"/>
      <c r="U397" s="6"/>
      <c r="V397" s="6"/>
      <c r="W397" s="6"/>
    </row>
    <row r="398" spans="1:23" x14ac:dyDescent="0.35">
      <c r="A398" s="6"/>
      <c r="B398" s="6"/>
      <c r="C398" s="6"/>
      <c r="D398" s="6"/>
      <c r="E398" s="6"/>
      <c r="F398" s="6"/>
      <c r="G398" s="6"/>
      <c r="H398" s="6"/>
      <c r="I398" s="6"/>
      <c r="J398" s="6"/>
      <c r="K398" s="6"/>
      <c r="L398" s="6"/>
      <c r="M398" s="6"/>
      <c r="N398" s="6"/>
      <c r="O398" s="6"/>
      <c r="P398" s="6"/>
      <c r="Q398" s="6"/>
      <c r="R398" s="6"/>
      <c r="S398" s="6"/>
      <c r="T398" s="6"/>
      <c r="U398" s="6"/>
      <c r="V398" s="6"/>
      <c r="W398" s="6"/>
    </row>
    <row r="399" spans="1:23" x14ac:dyDescent="0.35">
      <c r="A399" s="6"/>
      <c r="B399" s="6"/>
      <c r="C399" s="6"/>
      <c r="D399" s="6"/>
      <c r="E399" s="6"/>
      <c r="F399" s="6"/>
      <c r="G399" s="6"/>
      <c r="H399" s="6"/>
      <c r="I399" s="6"/>
      <c r="J399" s="6"/>
      <c r="K399" s="6"/>
      <c r="L399" s="6"/>
      <c r="M399" s="6"/>
      <c r="N399" s="6"/>
      <c r="O399" s="6"/>
      <c r="P399" s="6"/>
      <c r="Q399" s="6"/>
      <c r="R399" s="6"/>
      <c r="S399" s="6"/>
      <c r="T399" s="6"/>
      <c r="U399" s="6"/>
      <c r="V399" s="6"/>
      <c r="W399" s="6"/>
    </row>
    <row r="400" spans="1:23" x14ac:dyDescent="0.35">
      <c r="A400" s="6"/>
      <c r="B400" s="6"/>
      <c r="C400" s="6"/>
      <c r="D400" s="6"/>
      <c r="E400" s="6"/>
      <c r="F400" s="6"/>
      <c r="G400" s="6"/>
      <c r="H400" s="6"/>
      <c r="I400" s="6"/>
      <c r="J400" s="6"/>
      <c r="K400" s="6"/>
      <c r="L400" s="6"/>
      <c r="M400" s="6"/>
      <c r="N400" s="6"/>
      <c r="O400" s="6"/>
      <c r="P400" s="6"/>
      <c r="Q400" s="6"/>
      <c r="R400" s="6"/>
      <c r="S400" s="6"/>
      <c r="T400" s="6"/>
      <c r="U400" s="6"/>
      <c r="V400" s="6"/>
      <c r="W400" s="6"/>
    </row>
    <row r="401" spans="1:23" x14ac:dyDescent="0.35">
      <c r="A401" s="6"/>
      <c r="B401" s="6"/>
      <c r="C401" s="6"/>
      <c r="D401" s="6"/>
      <c r="E401" s="6"/>
      <c r="F401" s="6"/>
      <c r="G401" s="6"/>
      <c r="H401" s="6"/>
      <c r="I401" s="6"/>
      <c r="J401" s="6"/>
      <c r="K401" s="6"/>
      <c r="L401" s="6"/>
      <c r="M401" s="6"/>
      <c r="N401" s="6"/>
      <c r="O401" s="6"/>
      <c r="P401" s="6"/>
      <c r="Q401" s="6"/>
      <c r="R401" s="6"/>
      <c r="S401" s="6"/>
      <c r="T401" s="6"/>
      <c r="U401" s="6"/>
      <c r="V401" s="6"/>
      <c r="W401" s="6"/>
    </row>
    <row r="402" spans="1:23" x14ac:dyDescent="0.35">
      <c r="A402" s="6"/>
      <c r="B402" s="6"/>
      <c r="C402" s="6"/>
      <c r="D402" s="6"/>
      <c r="E402" s="6"/>
      <c r="F402" s="6"/>
      <c r="G402" s="6"/>
      <c r="H402" s="6"/>
      <c r="I402" s="6"/>
      <c r="J402" s="6"/>
      <c r="K402" s="6"/>
      <c r="L402" s="6"/>
      <c r="M402" s="6"/>
      <c r="N402" s="6"/>
      <c r="O402" s="6"/>
      <c r="P402" s="6"/>
      <c r="Q402" s="6"/>
      <c r="R402" s="6"/>
      <c r="S402" s="6"/>
      <c r="T402" s="6"/>
      <c r="U402" s="6"/>
      <c r="V402" s="6"/>
      <c r="W402" s="6"/>
    </row>
    <row r="403" spans="1:23" x14ac:dyDescent="0.35">
      <c r="A403" s="6"/>
      <c r="B403" s="6"/>
      <c r="C403" s="6"/>
      <c r="D403" s="6"/>
      <c r="E403" s="6"/>
      <c r="F403" s="6"/>
      <c r="G403" s="6"/>
      <c r="H403" s="6"/>
      <c r="I403" s="6"/>
      <c r="J403" s="6"/>
      <c r="K403" s="6"/>
      <c r="L403" s="6"/>
      <c r="M403" s="6"/>
      <c r="N403" s="6"/>
      <c r="O403" s="6"/>
      <c r="P403" s="6"/>
      <c r="Q403" s="6"/>
      <c r="R403" s="6"/>
      <c r="S403" s="6"/>
      <c r="T403" s="6"/>
      <c r="U403" s="6"/>
      <c r="V403" s="6"/>
      <c r="W403" s="6"/>
    </row>
    <row r="404" spans="1:23" x14ac:dyDescent="0.35">
      <c r="A404" s="6"/>
      <c r="B404" s="6"/>
      <c r="C404" s="6"/>
      <c r="D404" s="6"/>
      <c r="E404" s="6"/>
      <c r="F404" s="6"/>
      <c r="G404" s="6"/>
      <c r="H404" s="6"/>
      <c r="I404" s="6"/>
      <c r="J404" s="6"/>
      <c r="K404" s="6"/>
      <c r="L404" s="6"/>
      <c r="M404" s="6"/>
      <c r="N404" s="6"/>
      <c r="O404" s="6"/>
      <c r="P404" s="6"/>
      <c r="Q404" s="6"/>
      <c r="R404" s="6"/>
      <c r="S404" s="6"/>
      <c r="T404" s="6"/>
      <c r="U404" s="6"/>
      <c r="V404" s="6"/>
      <c r="W404" s="6"/>
    </row>
    <row r="405" spans="1:23" x14ac:dyDescent="0.35">
      <c r="A405" s="6"/>
      <c r="B405" s="6"/>
      <c r="C405" s="6"/>
      <c r="D405" s="6"/>
      <c r="E405" s="6"/>
      <c r="F405" s="6"/>
      <c r="G405" s="6"/>
      <c r="H405" s="6"/>
      <c r="I405" s="6"/>
      <c r="J405" s="6"/>
      <c r="K405" s="6"/>
      <c r="L405" s="6"/>
      <c r="M405" s="6"/>
      <c r="N405" s="6"/>
      <c r="O405" s="6"/>
      <c r="P405" s="6"/>
      <c r="Q405" s="6"/>
      <c r="R405" s="6"/>
      <c r="S405" s="6"/>
      <c r="T405" s="6"/>
      <c r="U405" s="6"/>
      <c r="V405" s="6"/>
      <c r="W405" s="6"/>
    </row>
    <row r="406" spans="1:23" x14ac:dyDescent="0.35">
      <c r="A406" s="6"/>
      <c r="B406" s="6"/>
      <c r="C406" s="6"/>
      <c r="D406" s="6"/>
      <c r="E406" s="6"/>
      <c r="F406" s="6"/>
      <c r="G406" s="6"/>
      <c r="H406" s="6"/>
      <c r="I406" s="6"/>
      <c r="J406" s="6"/>
      <c r="K406" s="6"/>
      <c r="L406" s="6"/>
      <c r="M406" s="6"/>
      <c r="N406" s="6"/>
      <c r="O406" s="6"/>
      <c r="P406" s="6"/>
      <c r="Q406" s="6"/>
      <c r="R406" s="6"/>
      <c r="S406" s="6"/>
      <c r="T406" s="6"/>
      <c r="U406" s="6"/>
      <c r="V406" s="6"/>
      <c r="W406" s="6"/>
    </row>
    <row r="407" spans="1:23" x14ac:dyDescent="0.35">
      <c r="A407" s="6"/>
      <c r="B407" s="6"/>
      <c r="C407" s="6"/>
      <c r="D407" s="6"/>
      <c r="E407" s="6"/>
      <c r="F407" s="6"/>
      <c r="G407" s="6"/>
      <c r="H407" s="6"/>
      <c r="I407" s="6"/>
      <c r="J407" s="6"/>
      <c r="K407" s="6"/>
      <c r="L407" s="6"/>
      <c r="M407" s="6"/>
      <c r="N407" s="6"/>
      <c r="O407" s="6"/>
      <c r="P407" s="6"/>
      <c r="Q407" s="6"/>
      <c r="R407" s="6"/>
      <c r="S407" s="6"/>
      <c r="T407" s="6"/>
      <c r="U407" s="6"/>
      <c r="V407" s="6"/>
      <c r="W407" s="6"/>
    </row>
    <row r="408" spans="1:23" x14ac:dyDescent="0.35">
      <c r="A408" s="6"/>
      <c r="B408" s="6"/>
      <c r="C408" s="6"/>
      <c r="D408" s="6"/>
      <c r="E408" s="6"/>
      <c r="F408" s="6"/>
      <c r="G408" s="6"/>
      <c r="H408" s="6"/>
      <c r="I408" s="6"/>
      <c r="J408" s="6"/>
      <c r="K408" s="6"/>
      <c r="L408" s="6"/>
      <c r="M408" s="6"/>
      <c r="N408" s="6"/>
      <c r="O408" s="6"/>
      <c r="P408" s="6"/>
      <c r="Q408" s="6"/>
      <c r="R408" s="6"/>
      <c r="S408" s="6"/>
      <c r="T408" s="6"/>
      <c r="U408" s="6"/>
      <c r="V408" s="6"/>
      <c r="W408" s="6"/>
    </row>
    <row r="409" spans="1:23" x14ac:dyDescent="0.35">
      <c r="A409" s="6"/>
      <c r="B409" s="6"/>
      <c r="C409" s="6"/>
      <c r="D409" s="6"/>
      <c r="E409" s="6"/>
      <c r="F409" s="6"/>
      <c r="G409" s="6"/>
      <c r="H409" s="6"/>
      <c r="I409" s="6"/>
      <c r="J409" s="6"/>
      <c r="K409" s="6"/>
      <c r="L409" s="6"/>
      <c r="M409" s="6"/>
      <c r="N409" s="6"/>
      <c r="O409" s="6"/>
      <c r="P409" s="6"/>
      <c r="Q409" s="6"/>
      <c r="R409" s="6"/>
      <c r="S409" s="6"/>
      <c r="T409" s="6"/>
      <c r="U409" s="6"/>
      <c r="V409" s="6"/>
      <c r="W409" s="6"/>
    </row>
    <row r="410" spans="1:23" x14ac:dyDescent="0.35">
      <c r="A410" s="6"/>
      <c r="B410" s="6"/>
      <c r="C410" s="6"/>
      <c r="D410" s="6"/>
      <c r="E410" s="6"/>
      <c r="F410" s="6"/>
      <c r="G410" s="6"/>
      <c r="H410" s="6"/>
      <c r="I410" s="6"/>
      <c r="J410" s="6"/>
      <c r="K410" s="6"/>
      <c r="L410" s="6"/>
      <c r="M410" s="6"/>
      <c r="N410" s="6"/>
      <c r="O410" s="6"/>
      <c r="P410" s="6"/>
      <c r="Q410" s="6"/>
      <c r="R410" s="6"/>
      <c r="S410" s="6"/>
      <c r="T410" s="6"/>
      <c r="U410" s="6"/>
      <c r="V410" s="6"/>
      <c r="W410" s="6"/>
    </row>
    <row r="411" spans="1:23" x14ac:dyDescent="0.35">
      <c r="A411" s="6"/>
      <c r="B411" s="6"/>
      <c r="C411" s="6"/>
      <c r="D411" s="6"/>
      <c r="E411" s="6"/>
      <c r="F411" s="6"/>
      <c r="G411" s="6"/>
      <c r="H411" s="6"/>
      <c r="I411" s="6"/>
      <c r="J411" s="6"/>
      <c r="K411" s="6"/>
      <c r="L411" s="6"/>
      <c r="M411" s="6"/>
      <c r="N411" s="6"/>
      <c r="O411" s="6"/>
      <c r="P411" s="6"/>
      <c r="Q411" s="6"/>
      <c r="R411" s="6"/>
      <c r="S411" s="6"/>
      <c r="T411" s="6"/>
      <c r="U411" s="6"/>
      <c r="V411" s="6"/>
      <c r="W411" s="6"/>
    </row>
    <row r="412" spans="1:23" x14ac:dyDescent="0.35">
      <c r="A412" s="6"/>
      <c r="B412" s="6"/>
      <c r="C412" s="6"/>
      <c r="D412" s="6"/>
      <c r="E412" s="6"/>
      <c r="F412" s="6"/>
      <c r="G412" s="6"/>
      <c r="H412" s="6"/>
      <c r="I412" s="6"/>
      <c r="J412" s="6"/>
      <c r="K412" s="6"/>
      <c r="L412" s="6"/>
      <c r="M412" s="6"/>
      <c r="N412" s="6"/>
      <c r="O412" s="6"/>
      <c r="P412" s="6"/>
      <c r="Q412" s="6"/>
      <c r="R412" s="6"/>
      <c r="S412" s="6"/>
      <c r="T412" s="6"/>
      <c r="U412" s="6"/>
      <c r="V412" s="6"/>
      <c r="W412" s="6"/>
    </row>
    <row r="413" spans="1:23" x14ac:dyDescent="0.35">
      <c r="A413" s="6"/>
      <c r="B413" s="6"/>
      <c r="C413" s="6"/>
      <c r="D413" s="6"/>
      <c r="E413" s="6"/>
      <c r="F413" s="6"/>
      <c r="G413" s="6"/>
      <c r="H413" s="6"/>
      <c r="I413" s="6"/>
      <c r="J413" s="6"/>
      <c r="K413" s="6"/>
      <c r="L413" s="6"/>
      <c r="M413" s="6"/>
      <c r="N413" s="6"/>
      <c r="O413" s="6"/>
      <c r="P413" s="6"/>
      <c r="Q413" s="6"/>
      <c r="R413" s="6"/>
      <c r="S413" s="6"/>
      <c r="T413" s="6"/>
      <c r="U413" s="6"/>
      <c r="V413" s="6"/>
      <c r="W413" s="6"/>
    </row>
    <row r="414" spans="1:23" x14ac:dyDescent="0.35">
      <c r="A414" s="6"/>
      <c r="B414" s="6"/>
      <c r="C414" s="6"/>
      <c r="D414" s="6"/>
      <c r="E414" s="6"/>
      <c r="F414" s="6"/>
      <c r="G414" s="6"/>
      <c r="H414" s="6"/>
      <c r="I414" s="6"/>
      <c r="J414" s="6"/>
      <c r="K414" s="6"/>
      <c r="L414" s="6"/>
      <c r="M414" s="6"/>
      <c r="N414" s="6"/>
      <c r="O414" s="6"/>
      <c r="P414" s="6"/>
      <c r="Q414" s="6"/>
      <c r="R414" s="6"/>
      <c r="S414" s="6"/>
      <c r="T414" s="6"/>
      <c r="U414" s="6"/>
      <c r="V414" s="6"/>
      <c r="W414" s="6"/>
    </row>
    <row r="415" spans="1:23" x14ac:dyDescent="0.35">
      <c r="A415" s="6"/>
      <c r="B415" s="6"/>
      <c r="C415" s="6"/>
      <c r="D415" s="6"/>
      <c r="E415" s="6"/>
      <c r="F415" s="6"/>
      <c r="G415" s="6"/>
      <c r="H415" s="6"/>
      <c r="I415" s="6"/>
      <c r="J415" s="6"/>
      <c r="K415" s="6"/>
      <c r="L415" s="6"/>
      <c r="M415" s="6"/>
      <c r="N415" s="6"/>
      <c r="O415" s="6"/>
      <c r="P415" s="6"/>
      <c r="Q415" s="6"/>
      <c r="R415" s="6"/>
      <c r="S415" s="6"/>
      <c r="T415" s="6"/>
      <c r="U415" s="6"/>
      <c r="V415" s="6"/>
      <c r="W415" s="6"/>
    </row>
    <row r="416" spans="1:23" x14ac:dyDescent="0.35">
      <c r="A416" s="6"/>
      <c r="B416" s="6"/>
      <c r="C416" s="6"/>
      <c r="D416" s="6"/>
      <c r="E416" s="6"/>
      <c r="F416" s="6"/>
      <c r="G416" s="6"/>
      <c r="H416" s="6"/>
      <c r="I416" s="6"/>
      <c r="J416" s="6"/>
      <c r="K416" s="6"/>
      <c r="L416" s="6"/>
      <c r="M416" s="6"/>
      <c r="N416" s="6"/>
      <c r="O416" s="6"/>
      <c r="P416" s="6"/>
      <c r="Q416" s="6"/>
      <c r="R416" s="6"/>
      <c r="S416" s="6"/>
      <c r="T416" s="6"/>
      <c r="U416" s="6"/>
      <c r="V416" s="6"/>
      <c r="W416" s="6"/>
    </row>
    <row r="417" spans="1:23" x14ac:dyDescent="0.35">
      <c r="A417" s="6"/>
      <c r="B417" s="6"/>
      <c r="C417" s="6"/>
      <c r="D417" s="6"/>
      <c r="E417" s="6"/>
      <c r="F417" s="6"/>
      <c r="G417" s="6"/>
      <c r="H417" s="6"/>
      <c r="I417" s="6"/>
      <c r="J417" s="6"/>
      <c r="K417" s="6"/>
      <c r="L417" s="6"/>
      <c r="M417" s="6"/>
      <c r="N417" s="6"/>
      <c r="O417" s="6"/>
      <c r="P417" s="6"/>
      <c r="Q417" s="6"/>
      <c r="R417" s="6"/>
      <c r="S417" s="6"/>
      <c r="T417" s="6"/>
      <c r="U417" s="6"/>
      <c r="V417" s="6"/>
      <c r="W417" s="6"/>
    </row>
    <row r="418" spans="1:23" x14ac:dyDescent="0.35">
      <c r="A418" s="6"/>
      <c r="B418" s="6"/>
      <c r="C418" s="6"/>
      <c r="D418" s="6"/>
      <c r="E418" s="6"/>
      <c r="F418" s="6"/>
      <c r="G418" s="6"/>
      <c r="H418" s="6"/>
      <c r="I418" s="6"/>
      <c r="J418" s="6"/>
      <c r="K418" s="6"/>
      <c r="L418" s="6"/>
      <c r="M418" s="6"/>
      <c r="N418" s="6"/>
      <c r="O418" s="6"/>
      <c r="P418" s="6"/>
      <c r="Q418" s="6"/>
      <c r="R418" s="6"/>
      <c r="S418" s="6"/>
      <c r="T418" s="6"/>
      <c r="U418" s="6"/>
      <c r="V418" s="6"/>
      <c r="W418" s="6"/>
    </row>
    <row r="419" spans="1:23" x14ac:dyDescent="0.35">
      <c r="A419" s="6"/>
      <c r="B419" s="6"/>
      <c r="C419" s="6"/>
      <c r="D419" s="6"/>
      <c r="E419" s="6"/>
      <c r="F419" s="6"/>
      <c r="G419" s="6"/>
      <c r="H419" s="6"/>
      <c r="I419" s="6"/>
      <c r="J419" s="6"/>
      <c r="K419" s="6"/>
      <c r="L419" s="6"/>
      <c r="M419" s="6"/>
      <c r="N419" s="6"/>
      <c r="O419" s="6"/>
      <c r="P419" s="6"/>
      <c r="Q419" s="6"/>
      <c r="R419" s="6"/>
      <c r="S419" s="6"/>
      <c r="T419" s="6"/>
      <c r="U419" s="6"/>
      <c r="V419" s="6"/>
      <c r="W419" s="6"/>
    </row>
    <row r="420" spans="1:23" x14ac:dyDescent="0.35">
      <c r="A420" s="6"/>
      <c r="B420" s="6"/>
      <c r="C420" s="6"/>
      <c r="D420" s="6"/>
      <c r="E420" s="6"/>
      <c r="F420" s="6"/>
      <c r="G420" s="6"/>
      <c r="H420" s="6"/>
      <c r="I420" s="6"/>
      <c r="J420" s="6"/>
      <c r="K420" s="6"/>
      <c r="L420" s="6"/>
      <c r="M420" s="6"/>
      <c r="N420" s="6"/>
      <c r="O420" s="6"/>
      <c r="P420" s="6"/>
      <c r="Q420" s="6"/>
      <c r="R420" s="6"/>
      <c r="S420" s="6"/>
      <c r="T420" s="6"/>
      <c r="U420" s="6"/>
      <c r="V420" s="6"/>
      <c r="W420" s="6"/>
    </row>
    <row r="421" spans="1:23" x14ac:dyDescent="0.35">
      <c r="A421" s="6"/>
      <c r="B421" s="6"/>
      <c r="C421" s="6"/>
      <c r="D421" s="6"/>
      <c r="E421" s="6"/>
      <c r="F421" s="6"/>
      <c r="G421" s="6"/>
      <c r="H421" s="6"/>
      <c r="I421" s="6"/>
      <c r="J421" s="6"/>
      <c r="K421" s="6"/>
      <c r="L421" s="6"/>
      <c r="M421" s="6"/>
      <c r="N421" s="6"/>
      <c r="O421" s="6"/>
      <c r="P421" s="6"/>
      <c r="Q421" s="6"/>
      <c r="R421" s="6"/>
      <c r="S421" s="6"/>
      <c r="T421" s="6"/>
      <c r="U421" s="6"/>
      <c r="V421" s="6"/>
      <c r="W421" s="6"/>
    </row>
    <row r="422" spans="1:23" x14ac:dyDescent="0.35">
      <c r="A422" s="6"/>
      <c r="B422" s="6"/>
      <c r="C422" s="6"/>
      <c r="D422" s="6"/>
      <c r="E422" s="6"/>
      <c r="F422" s="6"/>
      <c r="G422" s="6"/>
      <c r="H422" s="6"/>
      <c r="I422" s="6"/>
      <c r="J422" s="6"/>
      <c r="K422" s="6"/>
      <c r="L422" s="6"/>
      <c r="M422" s="6"/>
      <c r="N422" s="6"/>
      <c r="O422" s="6"/>
      <c r="P422" s="6"/>
      <c r="Q422" s="6"/>
      <c r="R422" s="6"/>
      <c r="S422" s="6"/>
      <c r="T422" s="6"/>
      <c r="U422" s="6"/>
      <c r="V422" s="6"/>
      <c r="W422" s="6"/>
    </row>
    <row r="423" spans="1:23" x14ac:dyDescent="0.35">
      <c r="A423" s="6"/>
      <c r="B423" s="6"/>
      <c r="C423" s="6"/>
      <c r="D423" s="6"/>
      <c r="E423" s="6"/>
      <c r="F423" s="6"/>
      <c r="G423" s="6"/>
      <c r="H423" s="6"/>
      <c r="I423" s="6"/>
      <c r="J423" s="6"/>
      <c r="K423" s="6"/>
      <c r="L423" s="6"/>
      <c r="M423" s="6"/>
      <c r="N423" s="6"/>
      <c r="O423" s="6"/>
      <c r="P423" s="6"/>
      <c r="Q423" s="6"/>
      <c r="R423" s="6"/>
      <c r="S423" s="6"/>
      <c r="T423" s="6"/>
      <c r="U423" s="6"/>
      <c r="V423" s="6"/>
      <c r="W423" s="6"/>
    </row>
    <row r="424" spans="1:23" x14ac:dyDescent="0.35">
      <c r="A424" s="6"/>
      <c r="B424" s="6"/>
      <c r="C424" s="6"/>
      <c r="D424" s="6"/>
      <c r="E424" s="6"/>
      <c r="F424" s="6"/>
      <c r="G424" s="6"/>
      <c r="H424" s="6"/>
      <c r="I424" s="6"/>
      <c r="J424" s="6"/>
      <c r="K424" s="6"/>
      <c r="L424" s="6"/>
      <c r="M424" s="6"/>
      <c r="N424" s="6"/>
      <c r="O424" s="6"/>
      <c r="P424" s="6"/>
      <c r="Q424" s="6"/>
      <c r="R424" s="6"/>
      <c r="S424" s="6"/>
      <c r="T424" s="6"/>
      <c r="U424" s="6"/>
      <c r="V424" s="6"/>
      <c r="W424" s="6"/>
    </row>
    <row r="425" spans="1:23" x14ac:dyDescent="0.35">
      <c r="A425" s="6"/>
      <c r="B425" s="6"/>
      <c r="C425" s="6"/>
      <c r="D425" s="6"/>
      <c r="E425" s="6"/>
      <c r="F425" s="6"/>
      <c r="G425" s="6"/>
      <c r="H425" s="6"/>
      <c r="I425" s="6"/>
      <c r="J425" s="6"/>
      <c r="K425" s="6"/>
      <c r="L425" s="6"/>
      <c r="M425" s="6"/>
      <c r="N425" s="6"/>
      <c r="O425" s="6"/>
      <c r="P425" s="6"/>
      <c r="Q425" s="6"/>
      <c r="R425" s="6"/>
      <c r="S425" s="6"/>
      <c r="T425" s="6"/>
      <c r="U425" s="6"/>
      <c r="V425" s="6"/>
      <c r="W425" s="6"/>
    </row>
    <row r="426" spans="1:23" x14ac:dyDescent="0.35">
      <c r="A426" s="6"/>
      <c r="B426" s="6"/>
      <c r="C426" s="6"/>
      <c r="D426" s="6"/>
      <c r="E426" s="6"/>
      <c r="F426" s="6"/>
      <c r="G426" s="6"/>
      <c r="H426" s="6"/>
      <c r="I426" s="6"/>
      <c r="J426" s="6"/>
      <c r="K426" s="6"/>
      <c r="L426" s="6"/>
      <c r="M426" s="6"/>
      <c r="N426" s="6"/>
      <c r="O426" s="6"/>
      <c r="P426" s="6"/>
      <c r="Q426" s="6"/>
      <c r="R426" s="6"/>
      <c r="S426" s="6"/>
      <c r="T426" s="6"/>
      <c r="U426" s="6"/>
      <c r="V426" s="6"/>
      <c r="W426" s="6"/>
    </row>
    <row r="427" spans="1:23" x14ac:dyDescent="0.35">
      <c r="A427" s="6"/>
      <c r="B427" s="6"/>
      <c r="C427" s="6"/>
      <c r="D427" s="6"/>
      <c r="E427" s="6"/>
      <c r="F427" s="6"/>
      <c r="G427" s="6"/>
      <c r="H427" s="6"/>
      <c r="I427" s="6"/>
      <c r="J427" s="6"/>
      <c r="K427" s="6"/>
      <c r="L427" s="6"/>
      <c r="M427" s="6"/>
      <c r="N427" s="6"/>
      <c r="O427" s="6"/>
      <c r="P427" s="6"/>
      <c r="Q427" s="6"/>
      <c r="R427" s="6"/>
      <c r="S427" s="6"/>
      <c r="T427" s="6"/>
      <c r="U427" s="6"/>
      <c r="V427" s="6"/>
      <c r="W427" s="6"/>
    </row>
    <row r="428" spans="1:23" x14ac:dyDescent="0.35">
      <c r="A428" s="6"/>
      <c r="B428" s="6"/>
      <c r="C428" s="6"/>
      <c r="D428" s="6"/>
      <c r="E428" s="6"/>
      <c r="F428" s="6"/>
      <c r="G428" s="6"/>
      <c r="H428" s="6"/>
      <c r="I428" s="6"/>
      <c r="J428" s="6"/>
      <c r="K428" s="6"/>
      <c r="L428" s="6"/>
      <c r="M428" s="6"/>
      <c r="N428" s="6"/>
      <c r="O428" s="6"/>
      <c r="P428" s="6"/>
      <c r="Q428" s="6"/>
      <c r="R428" s="6"/>
      <c r="S428" s="6"/>
      <c r="T428" s="6"/>
      <c r="U428" s="6"/>
      <c r="V428" s="6"/>
      <c r="W428" s="6"/>
    </row>
    <row r="429" spans="1:23" x14ac:dyDescent="0.35">
      <c r="A429" s="6"/>
      <c r="B429" s="6"/>
      <c r="C429" s="6"/>
      <c r="D429" s="6"/>
      <c r="E429" s="6"/>
      <c r="F429" s="6"/>
      <c r="G429" s="6"/>
      <c r="H429" s="6"/>
      <c r="I429" s="6"/>
      <c r="J429" s="6"/>
      <c r="K429" s="6"/>
      <c r="L429" s="6"/>
      <c r="M429" s="6"/>
      <c r="N429" s="6"/>
      <c r="O429" s="6"/>
      <c r="P429" s="6"/>
      <c r="Q429" s="6"/>
      <c r="R429" s="6"/>
      <c r="S429" s="6"/>
      <c r="T429" s="6"/>
      <c r="U429" s="6"/>
      <c r="V429" s="6"/>
      <c r="W429" s="6"/>
    </row>
    <row r="430" spans="1:23" x14ac:dyDescent="0.35">
      <c r="A430" s="6"/>
      <c r="B430" s="6"/>
      <c r="C430" s="6"/>
      <c r="D430" s="6"/>
      <c r="E430" s="6"/>
      <c r="F430" s="6"/>
      <c r="G430" s="6"/>
      <c r="H430" s="6"/>
      <c r="I430" s="6"/>
      <c r="J430" s="6"/>
      <c r="K430" s="6"/>
      <c r="L430" s="6"/>
      <c r="M430" s="6"/>
      <c r="N430" s="6"/>
      <c r="O430" s="6"/>
      <c r="P430" s="6"/>
      <c r="Q430" s="6"/>
      <c r="R430" s="6"/>
      <c r="S430" s="6"/>
      <c r="T430" s="6"/>
      <c r="U430" s="6"/>
      <c r="V430" s="6"/>
      <c r="W430" s="6"/>
    </row>
    <row r="431" spans="1:23" x14ac:dyDescent="0.35">
      <c r="A431" s="6"/>
      <c r="B431" s="6"/>
      <c r="C431" s="6"/>
      <c r="D431" s="6"/>
      <c r="E431" s="6"/>
      <c r="F431" s="6"/>
      <c r="G431" s="6"/>
      <c r="H431" s="6"/>
      <c r="I431" s="6"/>
      <c r="J431" s="6"/>
      <c r="K431" s="6"/>
      <c r="L431" s="6"/>
      <c r="M431" s="6"/>
      <c r="N431" s="6"/>
      <c r="O431" s="6"/>
      <c r="P431" s="6"/>
      <c r="Q431" s="6"/>
      <c r="R431" s="6"/>
      <c r="S431" s="6"/>
      <c r="T431" s="6"/>
      <c r="U431" s="6"/>
      <c r="V431" s="6"/>
      <c r="W431" s="6"/>
    </row>
    <row r="432" spans="1:23" x14ac:dyDescent="0.35">
      <c r="A432" s="6"/>
      <c r="B432" s="6"/>
      <c r="C432" s="6"/>
      <c r="D432" s="6"/>
      <c r="E432" s="6"/>
      <c r="F432" s="6"/>
      <c r="G432" s="6"/>
      <c r="H432" s="6"/>
      <c r="I432" s="6"/>
      <c r="J432" s="6"/>
      <c r="K432" s="6"/>
      <c r="L432" s="6"/>
      <c r="M432" s="6"/>
      <c r="N432" s="6"/>
      <c r="O432" s="6"/>
      <c r="P432" s="6"/>
      <c r="Q432" s="6"/>
      <c r="R432" s="6"/>
      <c r="S432" s="6"/>
      <c r="T432" s="6"/>
      <c r="U432" s="6"/>
      <c r="V432" s="6"/>
      <c r="W432" s="6"/>
    </row>
    <row r="433" spans="1:23" x14ac:dyDescent="0.35">
      <c r="A433" s="6"/>
      <c r="B433" s="6"/>
      <c r="C433" s="6"/>
      <c r="D433" s="6"/>
      <c r="E433" s="6"/>
      <c r="F433" s="6"/>
      <c r="G433" s="6"/>
      <c r="H433" s="6"/>
      <c r="I433" s="6"/>
      <c r="J433" s="6"/>
      <c r="K433" s="6"/>
      <c r="L433" s="6"/>
      <c r="M433" s="6"/>
      <c r="N433" s="6"/>
      <c r="O433" s="6"/>
      <c r="P433" s="6"/>
      <c r="Q433" s="6"/>
      <c r="R433" s="6"/>
      <c r="S433" s="6"/>
      <c r="T433" s="6"/>
      <c r="U433" s="6"/>
      <c r="V433" s="6"/>
      <c r="W433" s="6"/>
    </row>
    <row r="434" spans="1:23" x14ac:dyDescent="0.35">
      <c r="A434" s="6"/>
      <c r="B434" s="6"/>
      <c r="C434" s="6"/>
      <c r="D434" s="6"/>
      <c r="E434" s="6"/>
      <c r="F434" s="6"/>
      <c r="G434" s="6"/>
      <c r="H434" s="6"/>
      <c r="I434" s="6"/>
      <c r="J434" s="6"/>
      <c r="K434" s="6"/>
      <c r="L434" s="6"/>
      <c r="M434" s="6"/>
      <c r="N434" s="6"/>
      <c r="O434" s="6"/>
      <c r="P434" s="6"/>
      <c r="Q434" s="6"/>
      <c r="R434" s="6"/>
      <c r="S434" s="6"/>
      <c r="T434" s="6"/>
      <c r="U434" s="6"/>
      <c r="V434" s="6"/>
      <c r="W434" s="6"/>
    </row>
    <row r="435" spans="1:23" x14ac:dyDescent="0.35">
      <c r="A435" s="6"/>
      <c r="B435" s="6"/>
      <c r="C435" s="6"/>
      <c r="D435" s="6"/>
      <c r="E435" s="6"/>
      <c r="F435" s="6"/>
      <c r="G435" s="6"/>
      <c r="H435" s="6"/>
      <c r="I435" s="6"/>
      <c r="J435" s="6"/>
      <c r="K435" s="6"/>
      <c r="L435" s="6"/>
      <c r="M435" s="6"/>
      <c r="N435" s="6"/>
      <c r="O435" s="6"/>
      <c r="P435" s="6"/>
      <c r="Q435" s="6"/>
      <c r="R435" s="6"/>
      <c r="S435" s="6"/>
      <c r="T435" s="6"/>
      <c r="U435" s="6"/>
      <c r="V435" s="6"/>
      <c r="W435" s="6"/>
    </row>
    <row r="436" spans="1:23" x14ac:dyDescent="0.35">
      <c r="A436" s="6"/>
      <c r="B436" s="6"/>
      <c r="C436" s="6"/>
      <c r="D436" s="6"/>
      <c r="E436" s="6"/>
      <c r="F436" s="6"/>
      <c r="G436" s="6"/>
      <c r="H436" s="6"/>
      <c r="I436" s="6"/>
      <c r="J436" s="6"/>
      <c r="K436" s="6"/>
      <c r="L436" s="6"/>
      <c r="M436" s="6"/>
      <c r="N436" s="6"/>
      <c r="O436" s="6"/>
      <c r="P436" s="6"/>
      <c r="Q436" s="6"/>
      <c r="R436" s="6"/>
      <c r="S436" s="6"/>
      <c r="T436" s="6"/>
      <c r="U436" s="6"/>
      <c r="V436" s="6"/>
      <c r="W436" s="6"/>
    </row>
    <row r="437" spans="1:23" x14ac:dyDescent="0.35">
      <c r="A437" s="6"/>
      <c r="B437" s="6"/>
      <c r="C437" s="6"/>
      <c r="D437" s="6"/>
      <c r="E437" s="6"/>
      <c r="F437" s="6"/>
      <c r="G437" s="6"/>
      <c r="H437" s="6"/>
      <c r="I437" s="6"/>
      <c r="J437" s="6"/>
      <c r="K437" s="6"/>
      <c r="L437" s="6"/>
      <c r="M437" s="6"/>
      <c r="N437" s="6"/>
      <c r="O437" s="6"/>
      <c r="P437" s="6"/>
      <c r="Q437" s="6"/>
      <c r="R437" s="6"/>
      <c r="S437" s="6"/>
      <c r="T437" s="6"/>
      <c r="U437" s="6"/>
      <c r="V437" s="6"/>
      <c r="W437" s="6"/>
    </row>
    <row r="438" spans="1:23" x14ac:dyDescent="0.35">
      <c r="A438" s="6"/>
      <c r="B438" s="6"/>
      <c r="C438" s="6"/>
      <c r="D438" s="6"/>
      <c r="E438" s="6"/>
      <c r="F438" s="6"/>
      <c r="G438" s="6"/>
      <c r="H438" s="6"/>
      <c r="I438" s="6"/>
      <c r="J438" s="6"/>
      <c r="K438" s="6"/>
      <c r="L438" s="6"/>
      <c r="M438" s="6"/>
      <c r="N438" s="6"/>
      <c r="O438" s="6"/>
      <c r="P438" s="6"/>
      <c r="Q438" s="6"/>
      <c r="R438" s="6"/>
      <c r="S438" s="6"/>
      <c r="T438" s="6"/>
      <c r="U438" s="6"/>
      <c r="V438" s="6"/>
      <c r="W438" s="6"/>
    </row>
    <row r="439" spans="1:23" x14ac:dyDescent="0.35">
      <c r="A439" s="6"/>
      <c r="B439" s="6"/>
      <c r="C439" s="6"/>
      <c r="D439" s="6"/>
      <c r="E439" s="6"/>
      <c r="F439" s="6"/>
      <c r="G439" s="6"/>
      <c r="H439" s="6"/>
      <c r="I439" s="6"/>
      <c r="J439" s="6"/>
      <c r="K439" s="6"/>
      <c r="L439" s="6"/>
      <c r="M439" s="6"/>
      <c r="N439" s="6"/>
      <c r="O439" s="6"/>
      <c r="P439" s="6"/>
      <c r="Q439" s="6"/>
      <c r="R439" s="6"/>
      <c r="S439" s="6"/>
      <c r="T439" s="6"/>
      <c r="U439" s="6"/>
      <c r="V439" s="6"/>
      <c r="W439" s="6"/>
    </row>
    <row r="440" spans="1:23" x14ac:dyDescent="0.35">
      <c r="A440" s="6"/>
      <c r="B440" s="6"/>
      <c r="C440" s="6"/>
      <c r="D440" s="6"/>
      <c r="E440" s="6"/>
      <c r="F440" s="6"/>
      <c r="G440" s="6"/>
      <c r="H440" s="6"/>
      <c r="I440" s="6"/>
      <c r="J440" s="6"/>
      <c r="K440" s="6"/>
      <c r="L440" s="6"/>
      <c r="M440" s="6"/>
      <c r="N440" s="6"/>
      <c r="O440" s="6"/>
      <c r="P440" s="6"/>
      <c r="Q440" s="6"/>
      <c r="R440" s="6"/>
      <c r="S440" s="6"/>
      <c r="T440" s="6"/>
      <c r="U440" s="6"/>
      <c r="V440" s="6"/>
      <c r="W440" s="6"/>
    </row>
    <row r="441" spans="1:23" x14ac:dyDescent="0.35">
      <c r="A441" s="6"/>
      <c r="B441" s="6"/>
      <c r="C441" s="6"/>
      <c r="D441" s="6"/>
      <c r="E441" s="6"/>
      <c r="F441" s="6"/>
      <c r="G441" s="6"/>
      <c r="H441" s="6"/>
      <c r="I441" s="6"/>
      <c r="J441" s="6"/>
      <c r="K441" s="6"/>
      <c r="L441" s="6"/>
      <c r="M441" s="6"/>
      <c r="N441" s="6"/>
      <c r="O441" s="6"/>
      <c r="P441" s="6"/>
      <c r="Q441" s="6"/>
      <c r="R441" s="6"/>
      <c r="S441" s="6"/>
      <c r="T441" s="6"/>
      <c r="U441" s="6"/>
      <c r="V441" s="6"/>
      <c r="W441" s="6"/>
    </row>
    <row r="442" spans="1:23" x14ac:dyDescent="0.35">
      <c r="A442" s="6"/>
      <c r="B442" s="6"/>
      <c r="C442" s="6"/>
      <c r="D442" s="6"/>
      <c r="E442" s="6"/>
      <c r="F442" s="6"/>
      <c r="G442" s="6"/>
      <c r="H442" s="6"/>
      <c r="I442" s="6"/>
      <c r="J442" s="6"/>
      <c r="K442" s="6"/>
      <c r="L442" s="6"/>
      <c r="M442" s="6"/>
      <c r="N442" s="6"/>
      <c r="O442" s="6"/>
      <c r="P442" s="6"/>
      <c r="Q442" s="6"/>
      <c r="R442" s="6"/>
      <c r="S442" s="6"/>
      <c r="T442" s="6"/>
      <c r="U442" s="6"/>
      <c r="V442" s="6"/>
      <c r="W442" s="6"/>
    </row>
    <row r="443" spans="1:23" x14ac:dyDescent="0.35">
      <c r="A443" s="6"/>
      <c r="B443" s="6"/>
      <c r="C443" s="6"/>
      <c r="D443" s="6"/>
      <c r="E443" s="6"/>
      <c r="F443" s="6"/>
      <c r="G443" s="6"/>
      <c r="H443" s="6"/>
      <c r="I443" s="6"/>
      <c r="J443" s="6"/>
      <c r="K443" s="6"/>
      <c r="L443" s="6"/>
      <c r="M443" s="6"/>
      <c r="N443" s="6"/>
      <c r="O443" s="6"/>
      <c r="P443" s="6"/>
      <c r="Q443" s="6"/>
      <c r="R443" s="6"/>
      <c r="S443" s="6"/>
      <c r="T443" s="6"/>
      <c r="U443" s="6"/>
      <c r="V443" s="6"/>
      <c r="W443" s="6"/>
    </row>
    <row r="444" spans="1:23" x14ac:dyDescent="0.35">
      <c r="A444" s="6"/>
      <c r="B444" s="6"/>
      <c r="C444" s="6"/>
      <c r="D444" s="6"/>
      <c r="E444" s="6"/>
      <c r="F444" s="6"/>
      <c r="G444" s="6"/>
      <c r="H444" s="6"/>
      <c r="I444" s="6"/>
      <c r="J444" s="6"/>
      <c r="K444" s="6"/>
      <c r="L444" s="6"/>
      <c r="M444" s="6"/>
      <c r="N444" s="6"/>
      <c r="O444" s="6"/>
      <c r="P444" s="6"/>
      <c r="Q444" s="6"/>
      <c r="R444" s="6"/>
      <c r="S444" s="6"/>
      <c r="T444" s="6"/>
      <c r="U444" s="6"/>
      <c r="V444" s="6"/>
      <c r="W444" s="6"/>
    </row>
    <row r="445" spans="1:23" x14ac:dyDescent="0.35">
      <c r="A445" s="6"/>
      <c r="B445" s="6"/>
      <c r="C445" s="6"/>
      <c r="D445" s="6"/>
      <c r="E445" s="6"/>
      <c r="F445" s="6"/>
      <c r="G445" s="6"/>
      <c r="H445" s="6"/>
      <c r="I445" s="6"/>
      <c r="J445" s="6"/>
      <c r="K445" s="6"/>
      <c r="L445" s="6"/>
      <c r="M445" s="6"/>
      <c r="N445" s="6"/>
      <c r="O445" s="6"/>
      <c r="P445" s="6"/>
      <c r="Q445" s="6"/>
      <c r="R445" s="6"/>
      <c r="S445" s="6"/>
      <c r="T445" s="6"/>
      <c r="U445" s="6"/>
      <c r="V445" s="6"/>
      <c r="W445" s="6"/>
    </row>
    <row r="446" spans="1:23" x14ac:dyDescent="0.35">
      <c r="A446" s="6"/>
      <c r="B446" s="6"/>
      <c r="C446" s="6"/>
      <c r="D446" s="6"/>
      <c r="E446" s="6"/>
      <c r="F446" s="6"/>
      <c r="G446" s="6"/>
      <c r="H446" s="6"/>
      <c r="I446" s="6"/>
      <c r="J446" s="6"/>
      <c r="K446" s="6"/>
      <c r="L446" s="6"/>
      <c r="M446" s="6"/>
      <c r="N446" s="6"/>
      <c r="O446" s="6"/>
      <c r="P446" s="6"/>
      <c r="Q446" s="6"/>
      <c r="R446" s="6"/>
      <c r="S446" s="6"/>
      <c r="T446" s="6"/>
      <c r="U446" s="6"/>
      <c r="V446" s="6"/>
      <c r="W446" s="6"/>
    </row>
    <row r="447" spans="1:23" x14ac:dyDescent="0.35">
      <c r="A447" s="6"/>
      <c r="B447" s="6"/>
      <c r="C447" s="6"/>
      <c r="D447" s="6"/>
      <c r="E447" s="6"/>
      <c r="F447" s="6"/>
      <c r="G447" s="6"/>
      <c r="H447" s="6"/>
      <c r="I447" s="6"/>
      <c r="J447" s="6"/>
      <c r="K447" s="6"/>
      <c r="L447" s="6"/>
      <c r="M447" s="6"/>
      <c r="N447" s="6"/>
      <c r="O447" s="6"/>
      <c r="P447" s="6"/>
      <c r="Q447" s="6"/>
      <c r="R447" s="6"/>
      <c r="S447" s="6"/>
      <c r="T447" s="6"/>
      <c r="U447" s="6"/>
      <c r="V447" s="6"/>
      <c r="W447" s="6"/>
    </row>
    <row r="448" spans="1:23" x14ac:dyDescent="0.35">
      <c r="A448" s="6"/>
      <c r="B448" s="6"/>
      <c r="C448" s="6"/>
      <c r="D448" s="6"/>
      <c r="E448" s="6"/>
      <c r="F448" s="6"/>
      <c r="G448" s="6"/>
      <c r="H448" s="6"/>
      <c r="I448" s="6"/>
      <c r="J448" s="6"/>
      <c r="K448" s="6"/>
      <c r="L448" s="6"/>
      <c r="M448" s="6"/>
      <c r="N448" s="6"/>
      <c r="O448" s="6"/>
      <c r="P448" s="6"/>
      <c r="Q448" s="6"/>
      <c r="R448" s="6"/>
      <c r="S448" s="6"/>
      <c r="T448" s="6"/>
      <c r="U448" s="6"/>
      <c r="V448" s="6"/>
      <c r="W448" s="6"/>
    </row>
    <row r="449" spans="1:23" x14ac:dyDescent="0.35">
      <c r="A449" s="6"/>
      <c r="B449" s="6"/>
      <c r="C449" s="6"/>
      <c r="D449" s="6"/>
      <c r="E449" s="6"/>
      <c r="F449" s="6"/>
      <c r="G449" s="6"/>
      <c r="H449" s="6"/>
      <c r="I449" s="6"/>
      <c r="J449" s="6"/>
      <c r="K449" s="6"/>
      <c r="L449" s="6"/>
      <c r="M449" s="6"/>
      <c r="N449" s="6"/>
      <c r="O449" s="6"/>
      <c r="P449" s="6"/>
      <c r="Q449" s="6"/>
      <c r="R449" s="6"/>
      <c r="S449" s="6"/>
      <c r="T449" s="6"/>
      <c r="U449" s="6"/>
      <c r="V449" s="6"/>
      <c r="W449" s="6"/>
    </row>
    <row r="450" spans="1:23" x14ac:dyDescent="0.35">
      <c r="A450" s="6"/>
      <c r="B450" s="6"/>
      <c r="C450" s="6"/>
      <c r="D450" s="6"/>
      <c r="E450" s="6"/>
      <c r="F450" s="6"/>
      <c r="G450" s="6"/>
      <c r="H450" s="6"/>
      <c r="I450" s="6"/>
      <c r="J450" s="6"/>
      <c r="K450" s="6"/>
      <c r="L450" s="6"/>
      <c r="M450" s="6"/>
      <c r="N450" s="6"/>
      <c r="O450" s="6"/>
      <c r="P450" s="6"/>
      <c r="Q450" s="6"/>
      <c r="R450" s="6"/>
      <c r="S450" s="6"/>
      <c r="T450" s="6"/>
      <c r="U450" s="6"/>
      <c r="V450" s="6"/>
      <c r="W450" s="6"/>
    </row>
    <row r="451" spans="1:23" x14ac:dyDescent="0.35">
      <c r="A451" s="6"/>
      <c r="B451" s="6"/>
      <c r="C451" s="6"/>
      <c r="D451" s="6"/>
      <c r="E451" s="6"/>
      <c r="F451" s="6"/>
      <c r="G451" s="6"/>
      <c r="H451" s="6"/>
      <c r="I451" s="6"/>
      <c r="J451" s="6"/>
      <c r="K451" s="6"/>
      <c r="L451" s="6"/>
      <c r="M451" s="6"/>
      <c r="N451" s="6"/>
      <c r="O451" s="6"/>
      <c r="P451" s="6"/>
      <c r="Q451" s="6"/>
      <c r="R451" s="6"/>
      <c r="S451" s="6"/>
      <c r="T451" s="6"/>
      <c r="U451" s="6"/>
      <c r="V451" s="6"/>
      <c r="W451" s="6"/>
    </row>
    <row r="452" spans="1:23" x14ac:dyDescent="0.35">
      <c r="A452" s="6"/>
      <c r="B452" s="6"/>
      <c r="C452" s="6"/>
      <c r="D452" s="6"/>
      <c r="E452" s="6"/>
      <c r="F452" s="6"/>
      <c r="G452" s="6"/>
      <c r="H452" s="6"/>
      <c r="I452" s="6"/>
      <c r="J452" s="6"/>
      <c r="K452" s="6"/>
      <c r="L452" s="6"/>
      <c r="M452" s="6"/>
      <c r="N452" s="6"/>
      <c r="O452" s="6"/>
      <c r="P452" s="6"/>
      <c r="Q452" s="6"/>
      <c r="R452" s="6"/>
      <c r="S452" s="6"/>
      <c r="T452" s="6"/>
      <c r="U452" s="6"/>
      <c r="V452" s="6"/>
      <c r="W452" s="6"/>
    </row>
    <row r="453" spans="1:23" x14ac:dyDescent="0.35">
      <c r="A453" s="6"/>
      <c r="B453" s="6"/>
      <c r="C453" s="6"/>
      <c r="D453" s="6"/>
      <c r="E453" s="6"/>
      <c r="F453" s="6"/>
      <c r="G453" s="6"/>
      <c r="H453" s="6"/>
      <c r="I453" s="6"/>
      <c r="J453" s="6"/>
      <c r="K453" s="6"/>
      <c r="L453" s="6"/>
      <c r="M453" s="6"/>
      <c r="N453" s="6"/>
      <c r="O453" s="6"/>
      <c r="P453" s="6"/>
      <c r="Q453" s="6"/>
      <c r="R453" s="6"/>
      <c r="S453" s="6"/>
      <c r="T453" s="6"/>
      <c r="U453" s="6"/>
      <c r="V453" s="6"/>
      <c r="W453" s="6"/>
    </row>
    <row r="454" spans="1:23" x14ac:dyDescent="0.35">
      <c r="A454" s="6"/>
      <c r="B454" s="6"/>
      <c r="C454" s="6"/>
      <c r="D454" s="6"/>
      <c r="E454" s="6"/>
      <c r="F454" s="6"/>
      <c r="G454" s="6"/>
      <c r="H454" s="6"/>
      <c r="I454" s="6"/>
      <c r="J454" s="6"/>
      <c r="K454" s="6"/>
      <c r="L454" s="6"/>
      <c r="M454" s="6"/>
      <c r="N454" s="6"/>
      <c r="O454" s="6"/>
      <c r="P454" s="6"/>
      <c r="Q454" s="6"/>
      <c r="R454" s="6"/>
      <c r="S454" s="6"/>
      <c r="T454" s="6"/>
      <c r="U454" s="6"/>
      <c r="V454" s="6"/>
      <c r="W454" s="6"/>
    </row>
    <row r="455" spans="1:23" x14ac:dyDescent="0.35">
      <c r="A455" s="6"/>
      <c r="B455" s="6"/>
      <c r="C455" s="6"/>
      <c r="D455" s="6"/>
      <c r="E455" s="6"/>
      <c r="F455" s="6"/>
      <c r="G455" s="6"/>
      <c r="H455" s="6"/>
      <c r="I455" s="6"/>
      <c r="J455" s="6"/>
      <c r="K455" s="6"/>
      <c r="L455" s="6"/>
      <c r="M455" s="6"/>
      <c r="N455" s="6"/>
      <c r="O455" s="6"/>
      <c r="P455" s="6"/>
      <c r="Q455" s="6"/>
      <c r="R455" s="6"/>
      <c r="S455" s="6"/>
      <c r="T455" s="6"/>
      <c r="U455" s="6"/>
      <c r="V455" s="6"/>
      <c r="W455" s="6"/>
    </row>
    <row r="456" spans="1:23" x14ac:dyDescent="0.35">
      <c r="A456" s="6"/>
      <c r="B456" s="6"/>
      <c r="C456" s="6"/>
      <c r="D456" s="6"/>
      <c r="E456" s="6"/>
      <c r="F456" s="6"/>
      <c r="G456" s="6"/>
      <c r="H456" s="6"/>
      <c r="I456" s="6"/>
      <c r="J456" s="6"/>
      <c r="K456" s="6"/>
      <c r="L456" s="6"/>
      <c r="M456" s="6"/>
      <c r="N456" s="6"/>
      <c r="O456" s="6"/>
      <c r="P456" s="6"/>
      <c r="Q456" s="6"/>
      <c r="R456" s="6"/>
      <c r="S456" s="6"/>
      <c r="T456" s="6"/>
      <c r="U456" s="6"/>
      <c r="V456" s="6"/>
      <c r="W456" s="6"/>
    </row>
    <row r="457" spans="1:23" x14ac:dyDescent="0.35">
      <c r="A457" s="6"/>
      <c r="B457" s="6"/>
      <c r="C457" s="6"/>
      <c r="D457" s="6"/>
      <c r="E457" s="6"/>
      <c r="F457" s="6"/>
      <c r="G457" s="6"/>
      <c r="H457" s="6"/>
      <c r="I457" s="6"/>
      <c r="J457" s="6"/>
      <c r="K457" s="6"/>
      <c r="L457" s="6"/>
      <c r="M457" s="6"/>
      <c r="N457" s="6"/>
      <c r="O457" s="6"/>
      <c r="P457" s="6"/>
      <c r="Q457" s="6"/>
      <c r="R457" s="6"/>
      <c r="S457" s="6"/>
      <c r="T457" s="6"/>
      <c r="U457" s="6"/>
      <c r="V457" s="6"/>
      <c r="W457" s="6"/>
    </row>
    <row r="458" spans="1:23" x14ac:dyDescent="0.35">
      <c r="A458" s="6"/>
      <c r="B458" s="6"/>
      <c r="C458" s="6"/>
      <c r="D458" s="6"/>
      <c r="E458" s="6"/>
      <c r="F458" s="6"/>
      <c r="G458" s="6"/>
      <c r="H458" s="6"/>
      <c r="I458" s="6"/>
      <c r="J458" s="6"/>
      <c r="K458" s="6"/>
      <c r="L458" s="6"/>
      <c r="M458" s="6"/>
      <c r="N458" s="6"/>
      <c r="O458" s="6"/>
      <c r="P458" s="6"/>
      <c r="Q458" s="6"/>
      <c r="R458" s="6"/>
      <c r="S458" s="6"/>
      <c r="T458" s="6"/>
      <c r="U458" s="6"/>
      <c r="V458" s="6"/>
      <c r="W458" s="6"/>
    </row>
    <row r="459" spans="1:23" x14ac:dyDescent="0.35">
      <c r="A459" s="6"/>
      <c r="B459" s="6"/>
      <c r="C459" s="6"/>
      <c r="D459" s="6"/>
      <c r="E459" s="6"/>
      <c r="F459" s="6"/>
      <c r="G459" s="6"/>
      <c r="H459" s="6"/>
      <c r="I459" s="6"/>
      <c r="J459" s="6"/>
      <c r="K459" s="6"/>
      <c r="L459" s="6"/>
      <c r="M459" s="6"/>
      <c r="N459" s="6"/>
      <c r="O459" s="6"/>
      <c r="P459" s="6"/>
      <c r="Q459" s="6"/>
      <c r="R459" s="6"/>
      <c r="S459" s="6"/>
      <c r="T459" s="6"/>
      <c r="U459" s="6"/>
      <c r="V459" s="6"/>
      <c r="W459" s="6"/>
    </row>
    <row r="460" spans="1:23" x14ac:dyDescent="0.35">
      <c r="A460" s="6"/>
      <c r="B460" s="6"/>
      <c r="C460" s="6"/>
      <c r="D460" s="6"/>
      <c r="E460" s="6"/>
      <c r="F460" s="6"/>
      <c r="G460" s="6"/>
      <c r="H460" s="6"/>
      <c r="I460" s="6"/>
      <c r="J460" s="6"/>
      <c r="K460" s="6"/>
      <c r="L460" s="6"/>
      <c r="M460" s="6"/>
      <c r="N460" s="6"/>
      <c r="O460" s="6"/>
      <c r="P460" s="6"/>
      <c r="Q460" s="6"/>
      <c r="R460" s="6"/>
      <c r="S460" s="6"/>
      <c r="T460" s="6"/>
      <c r="U460" s="6"/>
      <c r="V460" s="6"/>
      <c r="W460" s="6"/>
    </row>
    <row r="461" spans="1:23" x14ac:dyDescent="0.35">
      <c r="A461" s="6"/>
      <c r="B461" s="6"/>
      <c r="C461" s="6"/>
      <c r="D461" s="6"/>
      <c r="E461" s="6"/>
      <c r="F461" s="6"/>
      <c r="G461" s="6"/>
      <c r="H461" s="6"/>
      <c r="I461" s="6"/>
      <c r="J461" s="6"/>
      <c r="K461" s="6"/>
      <c r="L461" s="6"/>
      <c r="M461" s="6"/>
      <c r="N461" s="6"/>
      <c r="O461" s="6"/>
      <c r="P461" s="6"/>
      <c r="Q461" s="6"/>
      <c r="R461" s="6"/>
      <c r="S461" s="6"/>
      <c r="T461" s="6"/>
      <c r="U461" s="6"/>
      <c r="V461" s="6"/>
      <c r="W461" s="6"/>
    </row>
    <row r="462" spans="1:23" x14ac:dyDescent="0.35">
      <c r="A462" s="6"/>
      <c r="B462" s="6"/>
      <c r="C462" s="6"/>
      <c r="D462" s="6"/>
      <c r="E462" s="6"/>
      <c r="F462" s="6"/>
      <c r="G462" s="6"/>
      <c r="H462" s="6"/>
      <c r="I462" s="6"/>
      <c r="J462" s="6"/>
      <c r="K462" s="6"/>
      <c r="L462" s="6"/>
      <c r="M462" s="6"/>
      <c r="N462" s="6"/>
      <c r="O462" s="6"/>
      <c r="P462" s="6"/>
      <c r="Q462" s="6"/>
      <c r="R462" s="6"/>
      <c r="S462" s="6"/>
      <c r="T462" s="6"/>
      <c r="U462" s="6"/>
      <c r="V462" s="6"/>
      <c r="W462" s="6"/>
    </row>
    <row r="463" spans="1:23" x14ac:dyDescent="0.35">
      <c r="A463" s="6"/>
      <c r="B463" s="6"/>
      <c r="C463" s="6"/>
      <c r="D463" s="6"/>
      <c r="E463" s="6"/>
      <c r="F463" s="6"/>
      <c r="G463" s="6"/>
      <c r="H463" s="6"/>
      <c r="I463" s="6"/>
      <c r="J463" s="6"/>
      <c r="K463" s="6"/>
      <c r="L463" s="6"/>
      <c r="M463" s="6"/>
      <c r="N463" s="6"/>
      <c r="O463" s="6"/>
      <c r="P463" s="6"/>
      <c r="Q463" s="6"/>
      <c r="R463" s="6"/>
      <c r="S463" s="6"/>
      <c r="T463" s="6"/>
      <c r="U463" s="6"/>
      <c r="V463" s="6"/>
      <c r="W463" s="6"/>
    </row>
    <row r="464" spans="1:23" x14ac:dyDescent="0.35">
      <c r="A464" s="6"/>
      <c r="B464" s="6"/>
      <c r="C464" s="6"/>
      <c r="D464" s="6"/>
      <c r="E464" s="6"/>
      <c r="F464" s="6"/>
      <c r="G464" s="6"/>
      <c r="H464" s="6"/>
      <c r="I464" s="6"/>
      <c r="J464" s="6"/>
      <c r="K464" s="6"/>
      <c r="L464" s="6"/>
      <c r="M464" s="6"/>
      <c r="N464" s="6"/>
      <c r="O464" s="6"/>
      <c r="P464" s="6"/>
      <c r="Q464" s="6"/>
      <c r="R464" s="6"/>
      <c r="S464" s="6"/>
      <c r="T464" s="6"/>
      <c r="U464" s="6"/>
      <c r="V464" s="6"/>
      <c r="W464" s="6"/>
    </row>
    <row r="465" spans="1:23" x14ac:dyDescent="0.35">
      <c r="A465" s="6"/>
      <c r="B465" s="6"/>
      <c r="C465" s="6"/>
      <c r="D465" s="6"/>
      <c r="E465" s="6"/>
      <c r="F465" s="6"/>
      <c r="G465" s="6"/>
      <c r="H465" s="6"/>
      <c r="I465" s="6"/>
      <c r="J465" s="6"/>
      <c r="K465" s="6"/>
      <c r="L465" s="6"/>
      <c r="M465" s="6"/>
      <c r="N465" s="6"/>
      <c r="O465" s="6"/>
      <c r="P465" s="6"/>
      <c r="Q465" s="6"/>
      <c r="R465" s="6"/>
      <c r="S465" s="6"/>
      <c r="T465" s="6"/>
      <c r="U465" s="6"/>
      <c r="V465" s="6"/>
      <c r="W465" s="6"/>
    </row>
    <row r="466" spans="1:23" x14ac:dyDescent="0.35">
      <c r="A466" s="6"/>
      <c r="B466" s="6"/>
      <c r="C466" s="6"/>
      <c r="D466" s="6"/>
      <c r="E466" s="6"/>
      <c r="F466" s="6"/>
      <c r="G466" s="6"/>
      <c r="H466" s="6"/>
      <c r="I466" s="6"/>
      <c r="J466" s="6"/>
      <c r="K466" s="6"/>
      <c r="L466" s="6"/>
      <c r="M466" s="6"/>
      <c r="N466" s="6"/>
      <c r="O466" s="6"/>
      <c r="P466" s="6"/>
      <c r="Q466" s="6"/>
      <c r="R466" s="6"/>
      <c r="S466" s="6"/>
      <c r="T466" s="6"/>
      <c r="U466" s="6"/>
      <c r="V466" s="6"/>
      <c r="W466" s="6"/>
    </row>
    <row r="467" spans="1:23" x14ac:dyDescent="0.35">
      <c r="A467" s="6"/>
      <c r="B467" s="6"/>
      <c r="C467" s="6"/>
      <c r="D467" s="6"/>
      <c r="E467" s="6"/>
      <c r="F467" s="6"/>
      <c r="G467" s="6"/>
      <c r="H467" s="6"/>
      <c r="I467" s="6"/>
      <c r="J467" s="6"/>
      <c r="K467" s="6"/>
      <c r="L467" s="6"/>
      <c r="M467" s="6"/>
      <c r="N467" s="6"/>
      <c r="O467" s="6"/>
      <c r="P467" s="6"/>
      <c r="Q467" s="6"/>
      <c r="R467" s="6"/>
      <c r="S467" s="6"/>
      <c r="T467" s="6"/>
      <c r="U467" s="6"/>
      <c r="V467" s="6"/>
      <c r="W467" s="6"/>
    </row>
    <row r="468" spans="1:23" x14ac:dyDescent="0.35">
      <c r="A468" s="6"/>
      <c r="B468" s="6"/>
      <c r="C468" s="6"/>
      <c r="D468" s="6"/>
      <c r="E468" s="6"/>
      <c r="F468" s="6"/>
      <c r="G468" s="6"/>
      <c r="H468" s="6"/>
      <c r="I468" s="6"/>
      <c r="J468" s="6"/>
      <c r="K468" s="6"/>
      <c r="L468" s="6"/>
      <c r="M468" s="6"/>
      <c r="N468" s="6"/>
      <c r="O468" s="6"/>
      <c r="P468" s="6"/>
      <c r="Q468" s="6"/>
      <c r="R468" s="6"/>
      <c r="S468" s="6"/>
      <c r="T468" s="6"/>
      <c r="U468" s="6"/>
      <c r="V468" s="6"/>
      <c r="W468" s="6"/>
    </row>
    <row r="469" spans="1:23" x14ac:dyDescent="0.35">
      <c r="A469" s="6"/>
      <c r="B469" s="6"/>
      <c r="C469" s="6"/>
      <c r="D469" s="6"/>
      <c r="E469" s="6"/>
      <c r="F469" s="6"/>
      <c r="G469" s="6"/>
      <c r="H469" s="6"/>
      <c r="I469" s="6"/>
      <c r="J469" s="6"/>
      <c r="K469" s="6"/>
      <c r="L469" s="6"/>
      <c r="M469" s="6"/>
      <c r="N469" s="6"/>
      <c r="O469" s="6"/>
      <c r="P469" s="6"/>
      <c r="Q469" s="6"/>
      <c r="R469" s="6"/>
      <c r="S469" s="6"/>
      <c r="T469" s="6"/>
      <c r="U469" s="6"/>
      <c r="V469" s="6"/>
      <c r="W469" s="6"/>
    </row>
    <row r="470" spans="1:23" x14ac:dyDescent="0.35">
      <c r="A470" s="6"/>
      <c r="B470" s="6"/>
      <c r="C470" s="6"/>
      <c r="D470" s="6"/>
      <c r="E470" s="6"/>
      <c r="F470" s="6"/>
      <c r="G470" s="6"/>
      <c r="H470" s="6"/>
      <c r="I470" s="6"/>
      <c r="J470" s="6"/>
      <c r="K470" s="6"/>
      <c r="L470" s="6"/>
      <c r="M470" s="6"/>
      <c r="N470" s="6"/>
      <c r="O470" s="6"/>
      <c r="P470" s="6"/>
      <c r="Q470" s="6"/>
      <c r="R470" s="6"/>
      <c r="S470" s="6"/>
      <c r="T470" s="6"/>
      <c r="U470" s="6"/>
      <c r="V470" s="6"/>
      <c r="W470" s="6"/>
    </row>
    <row r="471" spans="1:23" x14ac:dyDescent="0.35">
      <c r="A471" s="6"/>
      <c r="B471" s="6"/>
      <c r="C471" s="6"/>
      <c r="D471" s="6"/>
      <c r="E471" s="6"/>
      <c r="F471" s="6"/>
      <c r="G471" s="6"/>
      <c r="H471" s="6"/>
      <c r="I471" s="6"/>
      <c r="J471" s="6"/>
      <c r="K471" s="6"/>
      <c r="L471" s="6"/>
      <c r="M471" s="6"/>
      <c r="N471" s="6"/>
      <c r="O471" s="6"/>
      <c r="P471" s="6"/>
      <c r="Q471" s="6"/>
      <c r="R471" s="6"/>
      <c r="S471" s="6"/>
      <c r="T471" s="6"/>
      <c r="U471" s="6"/>
      <c r="V471" s="6"/>
      <c r="W471" s="6"/>
    </row>
    <row r="472" spans="1:23" x14ac:dyDescent="0.35">
      <c r="A472" s="6"/>
      <c r="B472" s="6"/>
      <c r="C472" s="6"/>
      <c r="D472" s="6"/>
      <c r="E472" s="6"/>
      <c r="F472" s="6"/>
      <c r="G472" s="6"/>
      <c r="H472" s="6"/>
      <c r="I472" s="6"/>
      <c r="J472" s="6"/>
      <c r="K472" s="6"/>
      <c r="L472" s="6"/>
      <c r="M472" s="6"/>
      <c r="N472" s="6"/>
      <c r="O472" s="6"/>
      <c r="P472" s="6"/>
      <c r="Q472" s="6"/>
      <c r="R472" s="6"/>
      <c r="S472" s="6"/>
      <c r="T472" s="6"/>
      <c r="U472" s="6"/>
      <c r="V472" s="6"/>
      <c r="W472" s="6"/>
    </row>
    <row r="473" spans="1:23" x14ac:dyDescent="0.35">
      <c r="A473" s="6"/>
      <c r="B473" s="6"/>
      <c r="C473" s="6"/>
      <c r="D473" s="6"/>
      <c r="E473" s="6"/>
      <c r="F473" s="6"/>
      <c r="G473" s="6"/>
      <c r="H473" s="6"/>
      <c r="I473" s="6"/>
      <c r="J473" s="6"/>
      <c r="K473" s="6"/>
      <c r="L473" s="6"/>
      <c r="M473" s="6"/>
      <c r="N473" s="6"/>
      <c r="O473" s="6"/>
      <c r="P473" s="6"/>
      <c r="Q473" s="6"/>
      <c r="R473" s="6"/>
      <c r="S473" s="6"/>
      <c r="T473" s="6"/>
      <c r="U473" s="6"/>
      <c r="V473" s="6"/>
      <c r="W473" s="6"/>
    </row>
    <row r="474" spans="1:23" x14ac:dyDescent="0.35">
      <c r="A474" s="6"/>
      <c r="B474" s="6"/>
      <c r="C474" s="6"/>
      <c r="D474" s="6"/>
      <c r="E474" s="6"/>
      <c r="F474" s="6"/>
      <c r="G474" s="6"/>
      <c r="H474" s="6"/>
      <c r="I474" s="6"/>
      <c r="J474" s="6"/>
      <c r="K474" s="6"/>
      <c r="L474" s="6"/>
      <c r="M474" s="6"/>
      <c r="N474" s="6"/>
      <c r="O474" s="6"/>
      <c r="P474" s="6"/>
      <c r="Q474" s="6"/>
      <c r="R474" s="6"/>
      <c r="S474" s="6"/>
      <c r="T474" s="6"/>
      <c r="U474" s="6"/>
      <c r="V474" s="6"/>
      <c r="W474" s="6"/>
    </row>
    <row r="475" spans="1:23" x14ac:dyDescent="0.35">
      <c r="A475" s="6"/>
      <c r="B475" s="6"/>
      <c r="C475" s="6"/>
      <c r="D475" s="6"/>
      <c r="E475" s="6"/>
      <c r="F475" s="6"/>
      <c r="G475" s="6"/>
      <c r="H475" s="6"/>
      <c r="I475" s="6"/>
      <c r="J475" s="6"/>
      <c r="K475" s="6"/>
      <c r="L475" s="6"/>
      <c r="M475" s="6"/>
      <c r="N475" s="6"/>
      <c r="O475" s="6"/>
      <c r="P475" s="6"/>
      <c r="Q475" s="6"/>
      <c r="R475" s="6"/>
      <c r="S475" s="6"/>
      <c r="T475" s="6"/>
      <c r="U475" s="6"/>
      <c r="V475" s="6"/>
      <c r="W475" s="6"/>
    </row>
    <row r="476" spans="1:23" x14ac:dyDescent="0.35">
      <c r="A476" s="6"/>
      <c r="B476" s="6"/>
      <c r="C476" s="6"/>
      <c r="D476" s="6"/>
      <c r="E476" s="6"/>
      <c r="F476" s="6"/>
      <c r="G476" s="6"/>
      <c r="H476" s="6"/>
      <c r="I476" s="6"/>
      <c r="J476" s="6"/>
      <c r="K476" s="6"/>
      <c r="L476" s="6"/>
      <c r="M476" s="6"/>
      <c r="N476" s="6"/>
      <c r="O476" s="6"/>
      <c r="P476" s="6"/>
      <c r="Q476" s="6"/>
      <c r="R476" s="6"/>
      <c r="S476" s="6"/>
      <c r="T476" s="6"/>
      <c r="U476" s="6"/>
      <c r="V476" s="6"/>
      <c r="W476" s="6"/>
    </row>
    <row r="477" spans="1:23" x14ac:dyDescent="0.35">
      <c r="A477" s="6"/>
      <c r="B477" s="6"/>
      <c r="C477" s="6"/>
      <c r="D477" s="6"/>
      <c r="E477" s="6"/>
      <c r="F477" s="6"/>
      <c r="G477" s="6"/>
      <c r="H477" s="6"/>
      <c r="I477" s="6"/>
      <c r="J477" s="6"/>
      <c r="K477" s="6"/>
      <c r="L477" s="6"/>
      <c r="M477" s="6"/>
      <c r="N477" s="6"/>
      <c r="O477" s="6"/>
      <c r="P477" s="6"/>
      <c r="Q477" s="6"/>
      <c r="R477" s="6"/>
      <c r="S477" s="6"/>
      <c r="T477" s="6"/>
      <c r="U477" s="6"/>
      <c r="V477" s="6"/>
      <c r="W477" s="6"/>
    </row>
    <row r="478" spans="1:23" x14ac:dyDescent="0.35">
      <c r="A478" s="6"/>
      <c r="B478" s="6"/>
      <c r="C478" s="6"/>
      <c r="D478" s="6"/>
      <c r="E478" s="6"/>
      <c r="F478" s="6"/>
      <c r="G478" s="6"/>
      <c r="H478" s="6"/>
      <c r="I478" s="6"/>
      <c r="J478" s="6"/>
      <c r="K478" s="6"/>
      <c r="L478" s="6"/>
      <c r="M478" s="6"/>
      <c r="N478" s="6"/>
      <c r="O478" s="6"/>
      <c r="P478" s="6"/>
      <c r="Q478" s="6"/>
      <c r="R478" s="6"/>
      <c r="S478" s="6"/>
      <c r="T478" s="6"/>
      <c r="U478" s="6"/>
      <c r="V478" s="6"/>
      <c r="W478" s="6"/>
    </row>
    <row r="479" spans="1:23" x14ac:dyDescent="0.35">
      <c r="A479" s="6"/>
      <c r="B479" s="6"/>
      <c r="C479" s="6"/>
      <c r="D479" s="6"/>
      <c r="E479" s="6"/>
      <c r="F479" s="6"/>
      <c r="G479" s="6"/>
      <c r="H479" s="6"/>
      <c r="I479" s="6"/>
      <c r="J479" s="6"/>
      <c r="K479" s="6"/>
      <c r="L479" s="6"/>
      <c r="M479" s="6"/>
      <c r="N479" s="6"/>
      <c r="O479" s="6"/>
      <c r="P479" s="6"/>
      <c r="Q479" s="6"/>
      <c r="R479" s="6"/>
      <c r="S479" s="6"/>
      <c r="T479" s="6"/>
      <c r="U479" s="6"/>
      <c r="V479" s="6"/>
      <c r="W479" s="6"/>
    </row>
    <row r="480" spans="1:23" x14ac:dyDescent="0.35">
      <c r="A480" s="6"/>
      <c r="B480" s="6"/>
      <c r="C480" s="6"/>
      <c r="D480" s="6"/>
      <c r="E480" s="6"/>
      <c r="F480" s="6"/>
      <c r="G480" s="6"/>
      <c r="H480" s="6"/>
      <c r="I480" s="6"/>
      <c r="J480" s="6"/>
      <c r="K480" s="6"/>
      <c r="L480" s="6"/>
      <c r="M480" s="6"/>
      <c r="N480" s="6"/>
      <c r="O480" s="6"/>
      <c r="P480" s="6"/>
      <c r="Q480" s="6"/>
      <c r="R480" s="6"/>
      <c r="S480" s="6"/>
      <c r="T480" s="6"/>
      <c r="U480" s="6"/>
      <c r="V480" s="6"/>
      <c r="W480" s="6"/>
    </row>
    <row r="481" spans="1:23" x14ac:dyDescent="0.35">
      <c r="A481" s="6"/>
      <c r="B481" s="6"/>
      <c r="C481" s="6"/>
      <c r="D481" s="6"/>
      <c r="E481" s="6"/>
      <c r="F481" s="6"/>
      <c r="G481" s="6"/>
      <c r="H481" s="6"/>
      <c r="I481" s="6"/>
      <c r="J481" s="6"/>
      <c r="K481" s="6"/>
      <c r="L481" s="6"/>
      <c r="M481" s="6"/>
      <c r="N481" s="6"/>
      <c r="O481" s="6"/>
      <c r="P481" s="6"/>
      <c r="Q481" s="6"/>
      <c r="R481" s="6"/>
      <c r="S481" s="6"/>
      <c r="T481" s="6"/>
      <c r="U481" s="6"/>
      <c r="V481" s="6"/>
      <c r="W481" s="6"/>
    </row>
    <row r="482" spans="1:23" x14ac:dyDescent="0.35">
      <c r="A482" s="6"/>
      <c r="B482" s="6"/>
      <c r="C482" s="6"/>
      <c r="D482" s="6"/>
      <c r="E482" s="6"/>
      <c r="F482" s="6"/>
      <c r="G482" s="6"/>
      <c r="H482" s="6"/>
      <c r="I482" s="6"/>
      <c r="J482" s="6"/>
      <c r="K482" s="6"/>
      <c r="L482" s="6"/>
      <c r="M482" s="6"/>
      <c r="N482" s="6"/>
      <c r="O482" s="6"/>
      <c r="P482" s="6"/>
      <c r="Q482" s="6"/>
      <c r="R482" s="6"/>
      <c r="S482" s="6"/>
      <c r="T482" s="6"/>
      <c r="U482" s="6"/>
      <c r="V482" s="6"/>
      <c r="W482" s="6"/>
    </row>
    <row r="483" spans="1:23" x14ac:dyDescent="0.35">
      <c r="A483" s="6"/>
      <c r="B483" s="6"/>
      <c r="C483" s="6"/>
      <c r="D483" s="6"/>
      <c r="E483" s="6"/>
      <c r="F483" s="6"/>
      <c r="G483" s="6"/>
      <c r="H483" s="6"/>
      <c r="I483" s="6"/>
      <c r="J483" s="6"/>
      <c r="K483" s="6"/>
      <c r="L483" s="6"/>
      <c r="M483" s="6"/>
      <c r="N483" s="6"/>
      <c r="O483" s="6"/>
      <c r="P483" s="6"/>
      <c r="Q483" s="6"/>
      <c r="R483" s="6"/>
      <c r="S483" s="6"/>
      <c r="T483" s="6"/>
      <c r="U483" s="6"/>
      <c r="V483" s="6"/>
      <c r="W483" s="6"/>
    </row>
    <row r="484" spans="1:23" x14ac:dyDescent="0.35">
      <c r="A484" s="6"/>
      <c r="B484" s="6"/>
      <c r="C484" s="6"/>
      <c r="D484" s="6"/>
      <c r="E484" s="6"/>
      <c r="F484" s="6"/>
      <c r="G484" s="6"/>
      <c r="H484" s="6"/>
      <c r="I484" s="6"/>
      <c r="J484" s="6"/>
      <c r="K484" s="6"/>
      <c r="L484" s="6"/>
      <c r="M484" s="6"/>
      <c r="N484" s="6"/>
      <c r="O484" s="6"/>
      <c r="P484" s="6"/>
      <c r="Q484" s="6"/>
      <c r="R484" s="6"/>
      <c r="S484" s="6"/>
      <c r="T484" s="6"/>
      <c r="U484" s="6"/>
      <c r="V484" s="6"/>
      <c r="W484" s="6"/>
    </row>
    <row r="485" spans="1:23" x14ac:dyDescent="0.35">
      <c r="A485" s="6"/>
      <c r="B485" s="6"/>
      <c r="C485" s="6"/>
      <c r="D485" s="6"/>
      <c r="E485" s="6"/>
      <c r="F485" s="6"/>
      <c r="G485" s="6"/>
      <c r="H485" s="6"/>
      <c r="I485" s="6"/>
      <c r="J485" s="6"/>
      <c r="K485" s="6"/>
      <c r="L485" s="6"/>
      <c r="M485" s="6"/>
      <c r="N485" s="6"/>
      <c r="O485" s="6"/>
      <c r="P485" s="6"/>
      <c r="Q485" s="6"/>
      <c r="R485" s="6"/>
      <c r="S485" s="6"/>
      <c r="T485" s="6"/>
      <c r="U485" s="6"/>
      <c r="V485" s="6"/>
      <c r="W485" s="6"/>
    </row>
    <row r="486" spans="1:23" x14ac:dyDescent="0.35">
      <c r="A486" s="6"/>
      <c r="B486" s="6"/>
      <c r="C486" s="6"/>
      <c r="D486" s="6"/>
      <c r="E486" s="6"/>
      <c r="F486" s="6"/>
      <c r="G486" s="6"/>
      <c r="H486" s="6"/>
      <c r="I486" s="6"/>
      <c r="J486" s="6"/>
      <c r="K486" s="6"/>
      <c r="L486" s="6"/>
      <c r="M486" s="6"/>
      <c r="N486" s="6"/>
      <c r="O486" s="6"/>
      <c r="P486" s="6"/>
      <c r="Q486" s="6"/>
      <c r="R486" s="6"/>
      <c r="S486" s="6"/>
      <c r="T486" s="6"/>
      <c r="U486" s="6"/>
      <c r="V486" s="6"/>
      <c r="W486" s="6"/>
    </row>
    <row r="487" spans="1:23" x14ac:dyDescent="0.35">
      <c r="A487" s="6"/>
      <c r="B487" s="6"/>
      <c r="C487" s="6"/>
      <c r="D487" s="6"/>
      <c r="E487" s="6"/>
      <c r="F487" s="6"/>
      <c r="G487" s="6"/>
      <c r="H487" s="6"/>
      <c r="I487" s="6"/>
      <c r="J487" s="6"/>
      <c r="K487" s="6"/>
      <c r="L487" s="6"/>
      <c r="M487" s="6"/>
      <c r="N487" s="6"/>
      <c r="O487" s="6"/>
      <c r="P487" s="6"/>
      <c r="Q487" s="6"/>
      <c r="R487" s="6"/>
      <c r="S487" s="6"/>
      <c r="T487" s="6"/>
      <c r="U487" s="6"/>
      <c r="V487" s="6"/>
      <c r="W487" s="6"/>
    </row>
    <row r="488" spans="1:23" x14ac:dyDescent="0.35">
      <c r="A488" s="6"/>
      <c r="B488" s="6"/>
      <c r="C488" s="6"/>
      <c r="D488" s="6"/>
      <c r="E488" s="6"/>
      <c r="F488" s="6"/>
      <c r="G488" s="6"/>
      <c r="H488" s="6"/>
      <c r="I488" s="6"/>
      <c r="J488" s="6"/>
      <c r="K488" s="6"/>
      <c r="L488" s="6"/>
      <c r="M488" s="6"/>
      <c r="N488" s="6"/>
      <c r="O488" s="6"/>
      <c r="P488" s="6"/>
      <c r="Q488" s="6"/>
      <c r="R488" s="6"/>
      <c r="S488" s="6"/>
      <c r="T488" s="6"/>
      <c r="U488" s="6"/>
      <c r="V488" s="6"/>
      <c r="W488" s="6"/>
    </row>
    <row r="489" spans="1:23" x14ac:dyDescent="0.35">
      <c r="A489" s="6"/>
      <c r="B489" s="6"/>
      <c r="C489" s="6"/>
      <c r="D489" s="6"/>
      <c r="E489" s="6"/>
      <c r="F489" s="6"/>
      <c r="G489" s="6"/>
      <c r="H489" s="6"/>
      <c r="I489" s="6"/>
      <c r="J489" s="6"/>
      <c r="K489" s="6"/>
      <c r="L489" s="6"/>
      <c r="M489" s="6"/>
      <c r="N489" s="6"/>
      <c r="O489" s="6"/>
      <c r="P489" s="6"/>
      <c r="Q489" s="6"/>
      <c r="R489" s="6"/>
      <c r="S489" s="6"/>
      <c r="T489" s="6"/>
      <c r="U489" s="6"/>
      <c r="V489" s="6"/>
      <c r="W489" s="6"/>
    </row>
    <row r="490" spans="1:23" x14ac:dyDescent="0.35">
      <c r="A490" s="6"/>
      <c r="B490" s="6"/>
      <c r="C490" s="6"/>
      <c r="D490" s="6"/>
      <c r="E490" s="6"/>
      <c r="F490" s="6"/>
      <c r="G490" s="6"/>
      <c r="H490" s="6"/>
      <c r="I490" s="6"/>
      <c r="J490" s="6"/>
      <c r="K490" s="6"/>
      <c r="L490" s="6"/>
      <c r="M490" s="6"/>
      <c r="N490" s="6"/>
      <c r="O490" s="6"/>
      <c r="P490" s="6"/>
      <c r="Q490" s="6"/>
      <c r="R490" s="6"/>
      <c r="S490" s="6"/>
      <c r="T490" s="6"/>
      <c r="U490" s="6"/>
      <c r="V490" s="6"/>
      <c r="W490" s="6"/>
    </row>
    <row r="491" spans="1:23" x14ac:dyDescent="0.35">
      <c r="A491" s="6"/>
      <c r="B491" s="6"/>
      <c r="C491" s="6"/>
      <c r="D491" s="6"/>
      <c r="E491" s="6"/>
      <c r="F491" s="6"/>
      <c r="G491" s="6"/>
      <c r="H491" s="6"/>
      <c r="I491" s="6"/>
      <c r="J491" s="6"/>
      <c r="K491" s="6"/>
      <c r="L491" s="6"/>
      <c r="M491" s="6"/>
      <c r="N491" s="6"/>
      <c r="O491" s="6"/>
      <c r="P491" s="6"/>
      <c r="Q491" s="6"/>
      <c r="R491" s="6"/>
      <c r="S491" s="6"/>
      <c r="T491" s="6"/>
      <c r="U491" s="6"/>
      <c r="V491" s="6"/>
      <c r="W491" s="6"/>
    </row>
    <row r="492" spans="1:23" x14ac:dyDescent="0.35">
      <c r="A492" s="6"/>
      <c r="B492" s="6"/>
      <c r="C492" s="6"/>
      <c r="D492" s="6"/>
      <c r="E492" s="6"/>
      <c r="F492" s="6"/>
      <c r="G492" s="6"/>
      <c r="H492" s="6"/>
      <c r="I492" s="6"/>
      <c r="J492" s="6"/>
      <c r="K492" s="6"/>
      <c r="L492" s="6"/>
      <c r="M492" s="6"/>
      <c r="N492" s="6"/>
      <c r="O492" s="6"/>
      <c r="P492" s="6"/>
      <c r="Q492" s="6"/>
      <c r="R492" s="6"/>
      <c r="S492" s="6"/>
      <c r="T492" s="6"/>
      <c r="U492" s="6"/>
      <c r="V492" s="6"/>
      <c r="W492" s="6"/>
    </row>
    <row r="493" spans="1:23" x14ac:dyDescent="0.35">
      <c r="A493" s="6"/>
      <c r="B493" s="6"/>
      <c r="C493" s="6"/>
      <c r="D493" s="6"/>
      <c r="E493" s="6"/>
      <c r="F493" s="6"/>
      <c r="G493" s="6"/>
      <c r="H493" s="6"/>
      <c r="I493" s="6"/>
      <c r="J493" s="6"/>
      <c r="K493" s="6"/>
      <c r="L493" s="6"/>
      <c r="M493" s="6"/>
      <c r="N493" s="6"/>
      <c r="O493" s="6"/>
      <c r="P493" s="6"/>
      <c r="Q493" s="6"/>
      <c r="R493" s="6"/>
      <c r="S493" s="6"/>
      <c r="T493" s="6"/>
      <c r="U493" s="6"/>
      <c r="V493" s="6"/>
      <c r="W493" s="6"/>
    </row>
    <row r="494" spans="1:23" x14ac:dyDescent="0.35">
      <c r="A494" s="6"/>
      <c r="B494" s="6"/>
      <c r="C494" s="6"/>
      <c r="D494" s="6"/>
      <c r="E494" s="6"/>
      <c r="F494" s="6"/>
      <c r="G494" s="6"/>
      <c r="H494" s="6"/>
      <c r="I494" s="6"/>
      <c r="J494" s="6"/>
      <c r="K494" s="6"/>
      <c r="L494" s="6"/>
      <c r="M494" s="6"/>
      <c r="N494" s="6"/>
      <c r="O494" s="6"/>
      <c r="P494" s="6"/>
      <c r="Q494" s="6"/>
      <c r="R494" s="6"/>
      <c r="S494" s="6"/>
      <c r="T494" s="6"/>
      <c r="U494" s="6"/>
      <c r="V494" s="6"/>
      <c r="W494" s="6"/>
    </row>
    <row r="495" spans="1:23" x14ac:dyDescent="0.35">
      <c r="A495" s="6"/>
      <c r="B495" s="6"/>
      <c r="C495" s="6"/>
      <c r="D495" s="6"/>
      <c r="E495" s="6"/>
      <c r="F495" s="6"/>
      <c r="G495" s="6"/>
      <c r="H495" s="6"/>
      <c r="I495" s="6"/>
      <c r="J495" s="6"/>
      <c r="K495" s="6"/>
      <c r="L495" s="6"/>
      <c r="M495" s="6"/>
      <c r="N495" s="6"/>
      <c r="O495" s="6"/>
      <c r="P495" s="6"/>
      <c r="Q495" s="6"/>
      <c r="R495" s="6"/>
      <c r="S495" s="6"/>
      <c r="T495" s="6"/>
      <c r="U495" s="6"/>
      <c r="V495" s="6"/>
      <c r="W495" s="6"/>
    </row>
    <row r="496" spans="1:23" x14ac:dyDescent="0.35">
      <c r="A496" s="6"/>
      <c r="B496" s="6"/>
      <c r="C496" s="6"/>
      <c r="D496" s="6"/>
      <c r="E496" s="6"/>
      <c r="F496" s="6"/>
      <c r="G496" s="6"/>
      <c r="H496" s="6"/>
      <c r="I496" s="6"/>
      <c r="J496" s="6"/>
      <c r="K496" s="6"/>
      <c r="L496" s="6"/>
      <c r="M496" s="6"/>
      <c r="N496" s="6"/>
      <c r="O496" s="6"/>
      <c r="P496" s="6"/>
      <c r="Q496" s="6"/>
      <c r="R496" s="6"/>
      <c r="S496" s="6"/>
      <c r="T496" s="6"/>
      <c r="U496" s="6"/>
      <c r="V496" s="6"/>
      <c r="W496" s="6"/>
    </row>
    <row r="497" spans="1:23" x14ac:dyDescent="0.35">
      <c r="A497" s="6"/>
      <c r="B497" s="6"/>
      <c r="C497" s="6"/>
      <c r="D497" s="6"/>
      <c r="E497" s="6"/>
      <c r="F497" s="6"/>
      <c r="G497" s="6"/>
      <c r="H497" s="6"/>
      <c r="I497" s="6"/>
      <c r="J497" s="6"/>
      <c r="K497" s="6"/>
      <c r="L497" s="6"/>
      <c r="M497" s="6"/>
      <c r="N497" s="6"/>
      <c r="O497" s="6"/>
      <c r="P497" s="6"/>
      <c r="Q497" s="6"/>
      <c r="R497" s="6"/>
      <c r="S497" s="6"/>
      <c r="T497" s="6"/>
      <c r="U497" s="6"/>
      <c r="V497" s="6"/>
      <c r="W497" s="6"/>
    </row>
    <row r="498" spans="1:23" x14ac:dyDescent="0.35">
      <c r="A498" s="6"/>
      <c r="B498" s="6"/>
      <c r="C498" s="6"/>
      <c r="D498" s="6"/>
      <c r="E498" s="6"/>
      <c r="F498" s="6"/>
      <c r="G498" s="6"/>
      <c r="H498" s="6"/>
      <c r="I498" s="6"/>
      <c r="J498" s="6"/>
      <c r="K498" s="6"/>
      <c r="L498" s="6"/>
      <c r="M498" s="6"/>
      <c r="N498" s="6"/>
      <c r="O498" s="6"/>
      <c r="P498" s="6"/>
      <c r="Q498" s="6"/>
      <c r="R498" s="6"/>
      <c r="S498" s="6"/>
      <c r="T498" s="6"/>
      <c r="U498" s="6"/>
      <c r="V498" s="6"/>
      <c r="W498" s="6"/>
    </row>
    <row r="499" spans="1:23" x14ac:dyDescent="0.35">
      <c r="A499" s="6"/>
      <c r="B499" s="6"/>
      <c r="C499" s="6"/>
      <c r="D499" s="6"/>
      <c r="E499" s="6"/>
      <c r="F499" s="6"/>
      <c r="G499" s="6"/>
      <c r="H499" s="6"/>
      <c r="I499" s="6"/>
      <c r="J499" s="6"/>
      <c r="K499" s="6"/>
      <c r="L499" s="6"/>
      <c r="M499" s="6"/>
      <c r="N499" s="6"/>
      <c r="O499" s="6"/>
      <c r="P499" s="6"/>
      <c r="Q499" s="6"/>
      <c r="R499" s="6"/>
      <c r="S499" s="6"/>
      <c r="T499" s="6"/>
      <c r="U499" s="6"/>
      <c r="V499" s="6"/>
      <c r="W499" s="6"/>
    </row>
    <row r="500" spans="1:23" x14ac:dyDescent="0.35">
      <c r="A500" s="6"/>
      <c r="B500" s="6"/>
      <c r="C500" s="6"/>
      <c r="D500" s="6"/>
      <c r="E500" s="6"/>
      <c r="F500" s="6"/>
      <c r="G500" s="6"/>
      <c r="H500" s="6"/>
      <c r="I500" s="6"/>
      <c r="J500" s="6"/>
      <c r="K500" s="6"/>
      <c r="L500" s="6"/>
      <c r="M500" s="6"/>
      <c r="N500" s="6"/>
      <c r="O500" s="6"/>
      <c r="P500" s="6"/>
      <c r="Q500" s="6"/>
      <c r="R500" s="6"/>
      <c r="S500" s="6"/>
      <c r="T500" s="6"/>
      <c r="U500" s="6"/>
      <c r="V500" s="6"/>
      <c r="W500" s="6"/>
    </row>
    <row r="501" spans="1:23" x14ac:dyDescent="0.35">
      <c r="A501" s="6"/>
      <c r="B501" s="6"/>
      <c r="C501" s="6"/>
      <c r="D501" s="6"/>
      <c r="E501" s="6"/>
      <c r="F501" s="6"/>
      <c r="G501" s="6"/>
      <c r="H501" s="6"/>
      <c r="I501" s="6"/>
      <c r="J501" s="6"/>
      <c r="K501" s="6"/>
      <c r="L501" s="6"/>
      <c r="M501" s="6"/>
      <c r="N501" s="6"/>
      <c r="O501" s="6"/>
      <c r="P501" s="6"/>
      <c r="Q501" s="6"/>
      <c r="R501" s="6"/>
      <c r="S501" s="6"/>
      <c r="T501" s="6"/>
      <c r="U501" s="6"/>
      <c r="V501" s="6"/>
      <c r="W501" s="6"/>
    </row>
    <row r="502" spans="1:23" x14ac:dyDescent="0.35">
      <c r="A502" s="6"/>
      <c r="B502" s="6"/>
      <c r="C502" s="6"/>
      <c r="D502" s="6"/>
      <c r="E502" s="6"/>
      <c r="F502" s="6"/>
      <c r="G502" s="6"/>
      <c r="H502" s="6"/>
      <c r="I502" s="6"/>
      <c r="J502" s="6"/>
      <c r="K502" s="6"/>
      <c r="L502" s="6"/>
      <c r="M502" s="6"/>
      <c r="N502" s="6"/>
      <c r="O502" s="6"/>
      <c r="P502" s="6"/>
      <c r="Q502" s="6"/>
      <c r="R502" s="6"/>
      <c r="S502" s="6"/>
      <c r="T502" s="6"/>
      <c r="U502" s="6"/>
      <c r="V502" s="6"/>
      <c r="W502" s="6"/>
    </row>
    <row r="503" spans="1:23" x14ac:dyDescent="0.35">
      <c r="A503" s="6"/>
      <c r="B503" s="6"/>
      <c r="C503" s="6"/>
      <c r="D503" s="6"/>
      <c r="E503" s="6"/>
      <c r="F503" s="6"/>
      <c r="G503" s="6"/>
      <c r="H503" s="6"/>
      <c r="I503" s="6"/>
      <c r="J503" s="6"/>
      <c r="K503" s="6"/>
      <c r="L503" s="6"/>
      <c r="M503" s="6"/>
      <c r="N503" s="6"/>
      <c r="O503" s="6"/>
      <c r="P503" s="6"/>
      <c r="Q503" s="6"/>
      <c r="R503" s="6"/>
      <c r="S503" s="6"/>
      <c r="T503" s="6"/>
      <c r="U503" s="6"/>
      <c r="V503" s="6"/>
      <c r="W503" s="6"/>
    </row>
    <row r="504" spans="1:23" x14ac:dyDescent="0.35">
      <c r="A504" s="6"/>
      <c r="B504" s="6"/>
      <c r="C504" s="6"/>
      <c r="D504" s="6"/>
      <c r="E504" s="6"/>
      <c r="F504" s="6"/>
      <c r="G504" s="6"/>
      <c r="H504" s="6"/>
      <c r="I504" s="6"/>
      <c r="J504" s="6"/>
      <c r="K504" s="6"/>
      <c r="L504" s="6"/>
      <c r="M504" s="6"/>
      <c r="N504" s="6"/>
      <c r="O504" s="6"/>
      <c r="P504" s="6"/>
      <c r="Q504" s="6"/>
      <c r="R504" s="6"/>
      <c r="S504" s="6"/>
      <c r="T504" s="6"/>
      <c r="U504" s="6"/>
      <c r="V504" s="6"/>
      <c r="W504" s="6"/>
    </row>
    <row r="505" spans="1:23" x14ac:dyDescent="0.35">
      <c r="A505" s="6"/>
      <c r="B505" s="6"/>
      <c r="C505" s="6"/>
      <c r="D505" s="6"/>
      <c r="E505" s="6"/>
      <c r="F505" s="6"/>
      <c r="G505" s="6"/>
      <c r="H505" s="6"/>
      <c r="I505" s="6"/>
      <c r="J505" s="6"/>
      <c r="K505" s="6"/>
      <c r="L505" s="6"/>
      <c r="M505" s="6"/>
      <c r="N505" s="6"/>
      <c r="O505" s="6"/>
      <c r="P505" s="6"/>
      <c r="Q505" s="6"/>
      <c r="R505" s="6"/>
      <c r="S505" s="6"/>
      <c r="T505" s="6"/>
      <c r="U505" s="6"/>
      <c r="V505" s="6"/>
      <c r="W505" s="6"/>
    </row>
    <row r="506" spans="1:23" x14ac:dyDescent="0.35">
      <c r="A506" s="6"/>
      <c r="B506" s="6"/>
      <c r="C506" s="6"/>
      <c r="D506" s="6"/>
      <c r="E506" s="6"/>
      <c r="F506" s="6"/>
      <c r="G506" s="6"/>
      <c r="H506" s="6"/>
      <c r="I506" s="6"/>
      <c r="J506" s="6"/>
      <c r="K506" s="6"/>
      <c r="L506" s="6"/>
      <c r="M506" s="6"/>
      <c r="N506" s="6"/>
      <c r="O506" s="6"/>
      <c r="P506" s="6"/>
      <c r="Q506" s="6"/>
      <c r="R506" s="6"/>
      <c r="S506" s="6"/>
      <c r="T506" s="6"/>
      <c r="U506" s="6"/>
      <c r="V506" s="6"/>
      <c r="W506" s="6"/>
    </row>
    <row r="507" spans="1:23" x14ac:dyDescent="0.35">
      <c r="A507" s="6"/>
      <c r="B507" s="6"/>
      <c r="C507" s="6"/>
      <c r="D507" s="6"/>
      <c r="E507" s="6"/>
      <c r="F507" s="6"/>
      <c r="G507" s="6"/>
      <c r="H507" s="6"/>
      <c r="I507" s="6"/>
      <c r="J507" s="6"/>
      <c r="K507" s="6"/>
      <c r="L507" s="6"/>
      <c r="M507" s="6"/>
      <c r="N507" s="6"/>
      <c r="O507" s="6"/>
      <c r="P507" s="6"/>
      <c r="Q507" s="6"/>
      <c r="R507" s="6"/>
      <c r="S507" s="6"/>
      <c r="T507" s="6"/>
      <c r="U507" s="6"/>
      <c r="V507" s="6"/>
      <c r="W507" s="6"/>
    </row>
    <row r="508" spans="1:23" x14ac:dyDescent="0.35">
      <c r="A508" s="6"/>
      <c r="B508" s="6"/>
      <c r="C508" s="6"/>
      <c r="D508" s="6"/>
      <c r="E508" s="6"/>
      <c r="F508" s="6"/>
      <c r="G508" s="6"/>
      <c r="H508" s="6"/>
      <c r="I508" s="6"/>
      <c r="J508" s="6"/>
      <c r="K508" s="6"/>
      <c r="L508" s="6"/>
      <c r="M508" s="6"/>
      <c r="N508" s="6"/>
      <c r="O508" s="6"/>
      <c r="P508" s="6"/>
      <c r="Q508" s="6"/>
      <c r="R508" s="6"/>
      <c r="S508" s="6"/>
      <c r="T508" s="6"/>
      <c r="U508" s="6"/>
      <c r="V508" s="6"/>
      <c r="W508" s="6"/>
    </row>
    <row r="509" spans="1:23" x14ac:dyDescent="0.35">
      <c r="A509" s="6"/>
      <c r="B509" s="6"/>
      <c r="C509" s="6"/>
      <c r="D509" s="6"/>
      <c r="E509" s="6"/>
      <c r="F509" s="6"/>
      <c r="G509" s="6"/>
      <c r="H509" s="6"/>
      <c r="I509" s="6"/>
      <c r="J509" s="6"/>
      <c r="K509" s="6"/>
      <c r="L509" s="6"/>
      <c r="M509" s="6"/>
      <c r="N509" s="6"/>
      <c r="O509" s="6"/>
      <c r="P509" s="6"/>
      <c r="Q509" s="6"/>
      <c r="R509" s="6"/>
      <c r="S509" s="6"/>
      <c r="T509" s="6"/>
      <c r="U509" s="6"/>
      <c r="V509" s="6"/>
      <c r="W509" s="6"/>
    </row>
    <row r="510" spans="1:23" x14ac:dyDescent="0.35">
      <c r="A510" s="6"/>
      <c r="B510" s="6"/>
      <c r="C510" s="6"/>
      <c r="D510" s="6"/>
      <c r="E510" s="6"/>
      <c r="F510" s="6"/>
      <c r="G510" s="6"/>
      <c r="H510" s="6"/>
      <c r="I510" s="6"/>
      <c r="J510" s="6"/>
      <c r="K510" s="6"/>
      <c r="L510" s="6"/>
      <c r="M510" s="6"/>
      <c r="N510" s="6"/>
      <c r="O510" s="6"/>
      <c r="P510" s="6"/>
      <c r="Q510" s="6"/>
      <c r="R510" s="6"/>
      <c r="S510" s="6"/>
      <c r="T510" s="6"/>
      <c r="U510" s="6"/>
      <c r="V510" s="6"/>
      <c r="W510" s="6"/>
    </row>
    <row r="511" spans="1:23" x14ac:dyDescent="0.35">
      <c r="A511" s="6"/>
      <c r="B511" s="6"/>
      <c r="C511" s="6"/>
      <c r="D511" s="6"/>
      <c r="E511" s="6"/>
      <c r="F511" s="6"/>
      <c r="G511" s="6"/>
      <c r="H511" s="6"/>
      <c r="I511" s="6"/>
      <c r="J511" s="6"/>
      <c r="K511" s="6"/>
      <c r="L511" s="6"/>
      <c r="M511" s="6"/>
      <c r="N511" s="6"/>
      <c r="O511" s="6"/>
      <c r="P511" s="6"/>
      <c r="Q511" s="6"/>
      <c r="R511" s="6"/>
      <c r="S511" s="6"/>
      <c r="T511" s="6"/>
      <c r="U511" s="6"/>
      <c r="V511" s="6"/>
      <c r="W511" s="6"/>
    </row>
    <row r="512" spans="1:23" x14ac:dyDescent="0.35">
      <c r="A512" s="6"/>
      <c r="B512" s="6"/>
      <c r="C512" s="6"/>
      <c r="D512" s="6"/>
      <c r="E512" s="6"/>
      <c r="F512" s="6"/>
      <c r="G512" s="6"/>
      <c r="H512" s="6"/>
      <c r="I512" s="6"/>
      <c r="J512" s="6"/>
      <c r="K512" s="6"/>
      <c r="L512" s="6"/>
      <c r="M512" s="6"/>
      <c r="N512" s="6"/>
      <c r="O512" s="6"/>
      <c r="P512" s="6"/>
      <c r="Q512" s="6"/>
      <c r="R512" s="6"/>
      <c r="S512" s="6"/>
      <c r="T512" s="6"/>
      <c r="U512" s="6"/>
      <c r="V512" s="6"/>
      <c r="W512" s="6"/>
    </row>
    <row r="513" spans="1:23" x14ac:dyDescent="0.35">
      <c r="A513" s="6"/>
      <c r="B513" s="6"/>
      <c r="C513" s="6"/>
      <c r="D513" s="6"/>
      <c r="E513" s="6"/>
      <c r="F513" s="6"/>
      <c r="G513" s="6"/>
      <c r="H513" s="6"/>
      <c r="I513" s="6"/>
      <c r="J513" s="6"/>
      <c r="K513" s="6"/>
      <c r="L513" s="6"/>
      <c r="M513" s="6"/>
      <c r="N513" s="6"/>
      <c r="O513" s="6"/>
      <c r="P513" s="6"/>
      <c r="Q513" s="6"/>
      <c r="R513" s="6"/>
      <c r="S513" s="6"/>
      <c r="T513" s="6"/>
      <c r="U513" s="6"/>
      <c r="V513" s="6"/>
      <c r="W513" s="6"/>
    </row>
    <row r="514" spans="1:23" x14ac:dyDescent="0.35">
      <c r="A514" s="6"/>
      <c r="B514" s="6"/>
      <c r="C514" s="6"/>
      <c r="D514" s="6"/>
      <c r="E514" s="6"/>
      <c r="F514" s="6"/>
      <c r="G514" s="6"/>
      <c r="H514" s="6"/>
      <c r="I514" s="6"/>
      <c r="J514" s="6"/>
      <c r="K514" s="6"/>
      <c r="L514" s="6"/>
      <c r="M514" s="6"/>
      <c r="N514" s="6"/>
      <c r="O514" s="6"/>
      <c r="P514" s="6"/>
      <c r="Q514" s="6"/>
      <c r="R514" s="6"/>
      <c r="S514" s="6"/>
      <c r="T514" s="6"/>
      <c r="U514" s="6"/>
      <c r="V514" s="6"/>
      <c r="W514" s="6"/>
    </row>
    <row r="515" spans="1:23" x14ac:dyDescent="0.35">
      <c r="A515" s="6"/>
      <c r="B515" s="6"/>
      <c r="C515" s="6"/>
      <c r="D515" s="6"/>
      <c r="E515" s="6"/>
      <c r="F515" s="6"/>
      <c r="G515" s="6"/>
      <c r="H515" s="6"/>
      <c r="I515" s="6"/>
      <c r="J515" s="6"/>
      <c r="K515" s="6"/>
      <c r="L515" s="6"/>
      <c r="M515" s="6"/>
      <c r="N515" s="6"/>
      <c r="O515" s="6"/>
      <c r="P515" s="6"/>
      <c r="Q515" s="6"/>
      <c r="R515" s="6"/>
      <c r="S515" s="6"/>
      <c r="T515" s="6"/>
      <c r="U515" s="6"/>
      <c r="V515" s="6"/>
      <c r="W515" s="6"/>
    </row>
    <row r="516" spans="1:23" x14ac:dyDescent="0.35">
      <c r="A516" s="6"/>
      <c r="B516" s="6"/>
      <c r="C516" s="6"/>
      <c r="D516" s="6"/>
      <c r="E516" s="6"/>
      <c r="F516" s="6"/>
      <c r="G516" s="6"/>
      <c r="H516" s="6"/>
      <c r="I516" s="6"/>
      <c r="J516" s="6"/>
      <c r="K516" s="6"/>
      <c r="L516" s="6"/>
      <c r="M516" s="6"/>
      <c r="N516" s="6"/>
      <c r="O516" s="6"/>
      <c r="P516" s="6"/>
      <c r="Q516" s="6"/>
      <c r="R516" s="6"/>
      <c r="S516" s="6"/>
      <c r="T516" s="6"/>
      <c r="U516" s="6"/>
      <c r="V516" s="6"/>
      <c r="W516" s="6"/>
    </row>
    <row r="517" spans="1:23" x14ac:dyDescent="0.35">
      <c r="A517" s="6"/>
      <c r="B517" s="6"/>
      <c r="C517" s="6"/>
      <c r="D517" s="6"/>
      <c r="E517" s="6"/>
      <c r="F517" s="6"/>
      <c r="G517" s="6"/>
      <c r="H517" s="6"/>
      <c r="I517" s="6"/>
      <c r="J517" s="6"/>
      <c r="K517" s="6"/>
      <c r="L517" s="6"/>
      <c r="M517" s="6"/>
      <c r="N517" s="6"/>
      <c r="O517" s="6"/>
      <c r="P517" s="6"/>
      <c r="Q517" s="6"/>
      <c r="R517" s="6"/>
      <c r="S517" s="6"/>
      <c r="T517" s="6"/>
      <c r="U517" s="6"/>
      <c r="V517" s="6"/>
      <c r="W517" s="6"/>
    </row>
    <row r="518" spans="1:23" x14ac:dyDescent="0.35">
      <c r="A518" s="6"/>
      <c r="B518" s="6"/>
      <c r="C518" s="6"/>
      <c r="D518" s="6"/>
      <c r="E518" s="6"/>
      <c r="F518" s="6"/>
      <c r="G518" s="6"/>
      <c r="H518" s="6"/>
      <c r="I518" s="6"/>
      <c r="J518" s="6"/>
      <c r="K518" s="6"/>
      <c r="L518" s="6"/>
      <c r="M518" s="6"/>
      <c r="N518" s="6"/>
      <c r="O518" s="6"/>
      <c r="P518" s="6"/>
      <c r="Q518" s="6"/>
      <c r="R518" s="6"/>
      <c r="S518" s="6"/>
      <c r="T518" s="6"/>
      <c r="U518" s="6"/>
      <c r="V518" s="6"/>
      <c r="W518" s="6"/>
    </row>
    <row r="519" spans="1:23" x14ac:dyDescent="0.35">
      <c r="A519" s="6"/>
      <c r="B519" s="6"/>
      <c r="C519" s="6"/>
      <c r="D519" s="6"/>
      <c r="E519" s="6"/>
      <c r="F519" s="6"/>
      <c r="G519" s="6"/>
      <c r="H519" s="6"/>
      <c r="I519" s="6"/>
      <c r="J519" s="6"/>
      <c r="K519" s="6"/>
      <c r="L519" s="6"/>
      <c r="M519" s="6"/>
      <c r="N519" s="6"/>
      <c r="O519" s="6"/>
      <c r="P519" s="6"/>
      <c r="Q519" s="6"/>
      <c r="R519" s="6"/>
      <c r="S519" s="6"/>
      <c r="T519" s="6"/>
      <c r="U519" s="6"/>
      <c r="V519" s="6"/>
      <c r="W519" s="6"/>
    </row>
    <row r="520" spans="1:23" x14ac:dyDescent="0.35">
      <c r="A520" s="6"/>
      <c r="B520" s="6"/>
      <c r="C520" s="6"/>
      <c r="D520" s="6"/>
      <c r="E520" s="6"/>
      <c r="F520" s="6"/>
      <c r="G520" s="6"/>
      <c r="H520" s="6"/>
      <c r="I520" s="6"/>
      <c r="J520" s="6"/>
      <c r="K520" s="6"/>
      <c r="L520" s="6"/>
      <c r="M520" s="6"/>
      <c r="N520" s="6"/>
      <c r="O520" s="6"/>
      <c r="P520" s="6"/>
      <c r="Q520" s="6"/>
      <c r="R520" s="6"/>
      <c r="S520" s="6"/>
      <c r="T520" s="6"/>
      <c r="U520" s="6"/>
      <c r="V520" s="6"/>
      <c r="W520" s="6"/>
    </row>
    <row r="521" spans="1:23" x14ac:dyDescent="0.35">
      <c r="A521" s="6"/>
      <c r="B521" s="6"/>
      <c r="C521" s="6"/>
      <c r="D521" s="6"/>
      <c r="E521" s="6"/>
      <c r="F521" s="6"/>
      <c r="G521" s="6"/>
      <c r="H521" s="6"/>
      <c r="I521" s="6"/>
      <c r="J521" s="6"/>
      <c r="K521" s="6"/>
      <c r="L521" s="6"/>
      <c r="M521" s="6"/>
      <c r="N521" s="6"/>
      <c r="O521" s="6"/>
      <c r="P521" s="6"/>
      <c r="Q521" s="6"/>
      <c r="R521" s="6"/>
      <c r="S521" s="6"/>
      <c r="T521" s="6"/>
      <c r="U521" s="6"/>
      <c r="V521" s="6"/>
      <c r="W521" s="6"/>
    </row>
    <row r="522" spans="1:23" x14ac:dyDescent="0.35">
      <c r="A522" s="6"/>
      <c r="B522" s="6"/>
      <c r="C522" s="6"/>
      <c r="D522" s="6"/>
      <c r="E522" s="6"/>
      <c r="F522" s="6"/>
      <c r="G522" s="6"/>
      <c r="H522" s="6"/>
      <c r="I522" s="6"/>
      <c r="J522" s="6"/>
      <c r="K522" s="6"/>
      <c r="L522" s="6"/>
      <c r="M522" s="6"/>
      <c r="N522" s="6"/>
      <c r="O522" s="6"/>
      <c r="P522" s="6"/>
      <c r="Q522" s="6"/>
      <c r="R522" s="6"/>
      <c r="S522" s="6"/>
      <c r="T522" s="6"/>
      <c r="U522" s="6"/>
      <c r="V522" s="6"/>
      <c r="W522" s="6"/>
    </row>
    <row r="523" spans="1:23" x14ac:dyDescent="0.35">
      <c r="A523" s="6"/>
      <c r="B523" s="6"/>
      <c r="C523" s="6"/>
      <c r="D523" s="6"/>
      <c r="E523" s="6"/>
      <c r="F523" s="6"/>
      <c r="G523" s="6"/>
      <c r="H523" s="6"/>
      <c r="I523" s="6"/>
      <c r="J523" s="6"/>
      <c r="K523" s="6"/>
      <c r="L523" s="6"/>
      <c r="M523" s="6"/>
      <c r="N523" s="6"/>
      <c r="O523" s="6"/>
      <c r="P523" s="6"/>
      <c r="Q523" s="6"/>
      <c r="R523" s="6"/>
      <c r="S523" s="6"/>
      <c r="T523" s="6"/>
      <c r="U523" s="6"/>
      <c r="V523" s="6"/>
      <c r="W523" s="6"/>
    </row>
    <row r="524" spans="1:23" x14ac:dyDescent="0.35">
      <c r="A524" s="6"/>
      <c r="B524" s="6"/>
      <c r="C524" s="6"/>
      <c r="D524" s="6"/>
      <c r="E524" s="6"/>
      <c r="F524" s="6"/>
      <c r="G524" s="6"/>
      <c r="H524" s="6"/>
      <c r="I524" s="6"/>
      <c r="J524" s="6"/>
      <c r="K524" s="6"/>
      <c r="L524" s="6"/>
      <c r="M524" s="6"/>
      <c r="N524" s="6"/>
      <c r="O524" s="6"/>
      <c r="P524" s="6"/>
      <c r="Q524" s="6"/>
      <c r="R524" s="6"/>
      <c r="S524" s="6"/>
      <c r="T524" s="6"/>
      <c r="U524" s="6"/>
      <c r="V524" s="6"/>
      <c r="W524" s="6"/>
    </row>
    <row r="525" spans="1:23" x14ac:dyDescent="0.35">
      <c r="A525" s="6"/>
      <c r="B525" s="6"/>
      <c r="C525" s="6"/>
      <c r="D525" s="6"/>
      <c r="E525" s="6"/>
      <c r="F525" s="6"/>
      <c r="G525" s="6"/>
      <c r="H525" s="6"/>
      <c r="I525" s="6"/>
      <c r="J525" s="6"/>
      <c r="K525" s="6"/>
      <c r="L525" s="6"/>
      <c r="M525" s="6"/>
      <c r="N525" s="6"/>
      <c r="O525" s="6"/>
      <c r="P525" s="6"/>
      <c r="Q525" s="6"/>
      <c r="R525" s="6"/>
      <c r="S525" s="6"/>
      <c r="T525" s="6"/>
      <c r="U525" s="6"/>
      <c r="V525" s="6"/>
      <c r="W525" s="6"/>
    </row>
    <row r="526" spans="1:23" x14ac:dyDescent="0.35">
      <c r="A526" s="6"/>
      <c r="B526" s="6"/>
      <c r="C526" s="6"/>
      <c r="D526" s="6"/>
      <c r="E526" s="6"/>
      <c r="F526" s="6"/>
      <c r="G526" s="6"/>
      <c r="H526" s="6"/>
      <c r="I526" s="6"/>
      <c r="J526" s="6"/>
      <c r="K526" s="6"/>
      <c r="L526" s="6"/>
      <c r="M526" s="6"/>
      <c r="N526" s="6"/>
      <c r="O526" s="6"/>
      <c r="P526" s="6"/>
      <c r="Q526" s="6"/>
      <c r="R526" s="6"/>
      <c r="S526" s="6"/>
      <c r="T526" s="6"/>
      <c r="U526" s="6"/>
      <c r="V526" s="6"/>
      <c r="W526" s="6"/>
    </row>
    <row r="527" spans="1:23" x14ac:dyDescent="0.35">
      <c r="A527" s="6"/>
      <c r="B527" s="6"/>
      <c r="C527" s="6"/>
      <c r="D527" s="6"/>
      <c r="E527" s="6"/>
      <c r="F527" s="6"/>
      <c r="G527" s="6"/>
      <c r="H527" s="6"/>
      <c r="I527" s="6"/>
      <c r="J527" s="6"/>
      <c r="K527" s="6"/>
      <c r="L527" s="6"/>
      <c r="M527" s="6"/>
      <c r="N527" s="6"/>
      <c r="O527" s="6"/>
      <c r="P527" s="6"/>
      <c r="Q527" s="6"/>
      <c r="R527" s="6"/>
      <c r="S527" s="6"/>
      <c r="T527" s="6"/>
      <c r="U527" s="6"/>
      <c r="V527" s="6"/>
      <c r="W527" s="6"/>
    </row>
    <row r="528" spans="1:23" x14ac:dyDescent="0.35">
      <c r="A528" s="6"/>
      <c r="B528" s="6"/>
      <c r="C528" s="6"/>
      <c r="D528" s="6"/>
      <c r="E528" s="6"/>
      <c r="F528" s="6"/>
      <c r="G528" s="6"/>
      <c r="H528" s="6"/>
      <c r="I528" s="6"/>
      <c r="J528" s="6"/>
      <c r="K528" s="6"/>
      <c r="L528" s="6"/>
      <c r="M528" s="6"/>
      <c r="N528" s="6"/>
      <c r="O528" s="6"/>
      <c r="P528" s="6"/>
      <c r="Q528" s="6"/>
      <c r="R528" s="6"/>
      <c r="S528" s="6"/>
      <c r="T528" s="6"/>
      <c r="U528" s="6"/>
      <c r="V528" s="6"/>
      <c r="W528" s="6"/>
    </row>
    <row r="529" spans="1:23" x14ac:dyDescent="0.35">
      <c r="A529" s="6"/>
      <c r="B529" s="6"/>
      <c r="C529" s="6"/>
      <c r="D529" s="6"/>
      <c r="E529" s="6"/>
      <c r="F529" s="6"/>
      <c r="G529" s="6"/>
      <c r="H529" s="6"/>
      <c r="I529" s="6"/>
      <c r="J529" s="6"/>
      <c r="K529" s="6"/>
      <c r="L529" s="6"/>
      <c r="M529" s="6"/>
      <c r="N529" s="6"/>
      <c r="O529" s="6"/>
      <c r="P529" s="6"/>
      <c r="Q529" s="6"/>
      <c r="R529" s="6"/>
      <c r="S529" s="6"/>
      <c r="T529" s="6"/>
      <c r="U529" s="6"/>
      <c r="V529" s="6"/>
      <c r="W529" s="6"/>
    </row>
    <row r="530" spans="1:23" x14ac:dyDescent="0.35">
      <c r="A530" s="6"/>
      <c r="B530" s="6"/>
      <c r="C530" s="6"/>
      <c r="D530" s="6"/>
      <c r="E530" s="6"/>
      <c r="F530" s="6"/>
      <c r="G530" s="6"/>
      <c r="H530" s="6"/>
      <c r="I530" s="6"/>
      <c r="J530" s="6"/>
      <c r="K530" s="6"/>
      <c r="L530" s="6"/>
      <c r="M530" s="6"/>
      <c r="N530" s="6"/>
      <c r="O530" s="6"/>
      <c r="P530" s="6"/>
      <c r="Q530" s="6"/>
      <c r="R530" s="6"/>
      <c r="S530" s="6"/>
      <c r="T530" s="6"/>
      <c r="U530" s="6"/>
      <c r="V530" s="6"/>
      <c r="W530" s="6"/>
    </row>
    <row r="531" spans="1:23" x14ac:dyDescent="0.35">
      <c r="A531" s="6"/>
      <c r="B531" s="6"/>
      <c r="C531" s="6"/>
      <c r="D531" s="6"/>
      <c r="E531" s="6"/>
      <c r="F531" s="6"/>
      <c r="G531" s="6"/>
      <c r="H531" s="6"/>
      <c r="I531" s="6"/>
      <c r="J531" s="6"/>
      <c r="K531" s="6"/>
      <c r="L531" s="6"/>
      <c r="M531" s="6"/>
      <c r="N531" s="6"/>
      <c r="O531" s="6"/>
      <c r="P531" s="6"/>
      <c r="Q531" s="6"/>
      <c r="R531" s="6"/>
      <c r="S531" s="6"/>
      <c r="T531" s="6"/>
      <c r="U531" s="6"/>
      <c r="V531" s="6"/>
      <c r="W531" s="6"/>
    </row>
    <row r="532" spans="1:23" x14ac:dyDescent="0.35">
      <c r="A532" s="6"/>
      <c r="B532" s="6"/>
      <c r="C532" s="6"/>
      <c r="D532" s="6"/>
      <c r="E532" s="6"/>
      <c r="F532" s="6"/>
      <c r="G532" s="6"/>
      <c r="H532" s="6"/>
      <c r="I532" s="6"/>
      <c r="J532" s="6"/>
      <c r="K532" s="6"/>
      <c r="L532" s="6"/>
      <c r="M532" s="6"/>
      <c r="N532" s="6"/>
      <c r="O532" s="6"/>
      <c r="P532" s="6"/>
      <c r="Q532" s="6"/>
      <c r="R532" s="6"/>
      <c r="S532" s="6"/>
      <c r="T532" s="6"/>
      <c r="U532" s="6"/>
      <c r="V532" s="6"/>
      <c r="W532" s="6"/>
    </row>
    <row r="533" spans="1:23" x14ac:dyDescent="0.35">
      <c r="A533" s="6"/>
      <c r="B533" s="6"/>
      <c r="C533" s="6"/>
      <c r="D533" s="6"/>
      <c r="E533" s="6"/>
      <c r="F533" s="6"/>
      <c r="G533" s="6"/>
      <c r="H533" s="6"/>
      <c r="I533" s="6"/>
      <c r="J533" s="6"/>
      <c r="K533" s="6"/>
      <c r="L533" s="6"/>
      <c r="M533" s="6"/>
      <c r="N533" s="6"/>
      <c r="O533" s="6"/>
      <c r="P533" s="6"/>
      <c r="Q533" s="6"/>
      <c r="R533" s="6"/>
      <c r="S533" s="6"/>
      <c r="T533" s="6"/>
      <c r="U533" s="6"/>
      <c r="V533" s="6"/>
      <c r="W533" s="6"/>
    </row>
    <row r="534" spans="1:23" x14ac:dyDescent="0.35">
      <c r="A534" s="6"/>
      <c r="B534" s="6"/>
      <c r="C534" s="6"/>
      <c r="D534" s="6"/>
      <c r="E534" s="6"/>
      <c r="F534" s="6"/>
      <c r="G534" s="6"/>
      <c r="H534" s="6"/>
      <c r="I534" s="6"/>
      <c r="J534" s="6"/>
      <c r="K534" s="6"/>
      <c r="L534" s="6"/>
      <c r="M534" s="6"/>
      <c r="N534" s="6"/>
      <c r="O534" s="6"/>
      <c r="P534" s="6"/>
      <c r="Q534" s="6"/>
      <c r="R534" s="6"/>
      <c r="S534" s="6"/>
      <c r="T534" s="6"/>
      <c r="U534" s="6"/>
      <c r="V534" s="6"/>
      <c r="W534" s="6"/>
    </row>
    <row r="535" spans="1:23" x14ac:dyDescent="0.35">
      <c r="A535" s="6"/>
      <c r="B535" s="6"/>
      <c r="C535" s="6"/>
      <c r="D535" s="6"/>
      <c r="E535" s="6"/>
      <c r="F535" s="6"/>
      <c r="G535" s="6"/>
      <c r="H535" s="6"/>
      <c r="I535" s="6"/>
      <c r="J535" s="6"/>
      <c r="K535" s="6"/>
      <c r="L535" s="6"/>
      <c r="M535" s="6"/>
      <c r="N535" s="6"/>
      <c r="O535" s="6"/>
      <c r="P535" s="6"/>
      <c r="Q535" s="6"/>
      <c r="R535" s="6"/>
      <c r="S535" s="6"/>
      <c r="T535" s="6"/>
      <c r="U535" s="6"/>
      <c r="V535" s="6"/>
      <c r="W535" s="6"/>
    </row>
    <row r="536" spans="1:23" x14ac:dyDescent="0.35">
      <c r="A536" s="6"/>
      <c r="B536" s="6"/>
      <c r="C536" s="6"/>
      <c r="D536" s="6"/>
      <c r="E536" s="6"/>
      <c r="F536" s="6"/>
      <c r="G536" s="6"/>
      <c r="H536" s="6"/>
      <c r="I536" s="6"/>
      <c r="J536" s="6"/>
      <c r="K536" s="6"/>
      <c r="L536" s="6"/>
      <c r="M536" s="6"/>
      <c r="N536" s="6"/>
      <c r="O536" s="6"/>
      <c r="P536" s="6"/>
      <c r="Q536" s="6"/>
      <c r="R536" s="6"/>
      <c r="S536" s="6"/>
      <c r="T536" s="6"/>
      <c r="U536" s="6"/>
      <c r="V536" s="6"/>
      <c r="W536" s="6"/>
    </row>
    <row r="537" spans="1:23" x14ac:dyDescent="0.35">
      <c r="A537" s="6"/>
      <c r="B537" s="6"/>
      <c r="C537" s="6"/>
      <c r="D537" s="6"/>
      <c r="E537" s="6"/>
      <c r="F537" s="6"/>
      <c r="G537" s="6"/>
      <c r="H537" s="6"/>
      <c r="I537" s="6"/>
      <c r="J537" s="6"/>
      <c r="K537" s="6"/>
      <c r="L537" s="6"/>
      <c r="M537" s="6"/>
      <c r="N537" s="6"/>
      <c r="O537" s="6"/>
      <c r="P537" s="6"/>
      <c r="Q537" s="6"/>
      <c r="R537" s="6"/>
      <c r="S537" s="6"/>
      <c r="T537" s="6"/>
      <c r="U537" s="6"/>
      <c r="V537" s="6"/>
      <c r="W537" s="6"/>
    </row>
    <row r="538" spans="1:23" x14ac:dyDescent="0.35">
      <c r="A538" s="6"/>
      <c r="B538" s="6"/>
      <c r="C538" s="6"/>
      <c r="D538" s="6"/>
      <c r="E538" s="6"/>
      <c r="F538" s="6"/>
      <c r="G538" s="6"/>
      <c r="H538" s="6"/>
      <c r="I538" s="6"/>
      <c r="J538" s="6"/>
      <c r="K538" s="6"/>
      <c r="L538" s="6"/>
      <c r="M538" s="6"/>
      <c r="N538" s="6"/>
      <c r="O538" s="6"/>
      <c r="P538" s="6"/>
      <c r="Q538" s="6"/>
      <c r="R538" s="6"/>
      <c r="S538" s="6"/>
      <c r="T538" s="6"/>
      <c r="U538" s="6"/>
      <c r="V538" s="6"/>
      <c r="W538" s="6"/>
    </row>
    <row r="539" spans="1:23" x14ac:dyDescent="0.35">
      <c r="A539" s="6"/>
      <c r="B539" s="6"/>
      <c r="C539" s="6"/>
      <c r="D539" s="6"/>
      <c r="E539" s="6"/>
      <c r="F539" s="6"/>
      <c r="G539" s="6"/>
      <c r="H539" s="6"/>
      <c r="I539" s="6"/>
      <c r="J539" s="6"/>
      <c r="K539" s="6"/>
      <c r="L539" s="6"/>
      <c r="M539" s="6"/>
      <c r="N539" s="6"/>
      <c r="O539" s="6"/>
      <c r="P539" s="6"/>
      <c r="Q539" s="6"/>
      <c r="R539" s="6"/>
      <c r="S539" s="6"/>
      <c r="T539" s="6"/>
      <c r="U539" s="6"/>
      <c r="V539" s="6"/>
      <c r="W539" s="6"/>
    </row>
    <row r="540" spans="1:23" x14ac:dyDescent="0.35">
      <c r="A540" s="6"/>
      <c r="B540" s="6"/>
      <c r="C540" s="6"/>
      <c r="D540" s="6"/>
      <c r="E540" s="6"/>
      <c r="F540" s="6"/>
      <c r="G540" s="6"/>
      <c r="H540" s="6"/>
      <c r="I540" s="6"/>
      <c r="J540" s="6"/>
      <c r="K540" s="6"/>
      <c r="L540" s="6"/>
      <c r="M540" s="6"/>
      <c r="N540" s="6"/>
      <c r="O540" s="6"/>
      <c r="P540" s="6"/>
      <c r="Q540" s="6"/>
      <c r="R540" s="6"/>
      <c r="S540" s="6"/>
      <c r="T540" s="6"/>
      <c r="U540" s="6"/>
      <c r="V540" s="6"/>
      <c r="W540" s="6"/>
    </row>
    <row r="541" spans="1:23" x14ac:dyDescent="0.35">
      <c r="A541" s="6"/>
      <c r="B541" s="6"/>
      <c r="C541" s="6"/>
      <c r="D541" s="6"/>
      <c r="E541" s="6"/>
      <c r="F541" s="6"/>
      <c r="G541" s="6"/>
      <c r="H541" s="6"/>
      <c r="I541" s="6"/>
      <c r="J541" s="6"/>
      <c r="K541" s="6"/>
      <c r="L541" s="6"/>
      <c r="M541" s="6"/>
      <c r="N541" s="6"/>
      <c r="O541" s="6"/>
      <c r="P541" s="6"/>
      <c r="Q541" s="6"/>
      <c r="R541" s="6"/>
      <c r="S541" s="6"/>
      <c r="T541" s="6"/>
      <c r="U541" s="6"/>
      <c r="V541" s="6"/>
      <c r="W541" s="6"/>
    </row>
    <row r="542" spans="1:23" x14ac:dyDescent="0.35">
      <c r="A542" s="6"/>
      <c r="B542" s="6"/>
      <c r="C542" s="6"/>
      <c r="D542" s="6"/>
      <c r="E542" s="6"/>
      <c r="F542" s="6"/>
      <c r="G542" s="6"/>
      <c r="H542" s="6"/>
      <c r="I542" s="6"/>
      <c r="J542" s="6"/>
      <c r="K542" s="6"/>
      <c r="L542" s="6"/>
      <c r="M542" s="6"/>
      <c r="N542" s="6"/>
      <c r="O542" s="6"/>
      <c r="P542" s="6"/>
      <c r="Q542" s="6"/>
      <c r="R542" s="6"/>
      <c r="S542" s="6"/>
      <c r="T542" s="6"/>
      <c r="U542" s="6"/>
      <c r="V542" s="6"/>
      <c r="W542" s="6"/>
    </row>
    <row r="543" spans="1:23" x14ac:dyDescent="0.35">
      <c r="A543" s="6"/>
      <c r="B543" s="6"/>
      <c r="C543" s="6"/>
      <c r="D543" s="6"/>
      <c r="E543" s="6"/>
      <c r="F543" s="6"/>
      <c r="G543" s="6"/>
      <c r="H543" s="6"/>
      <c r="I543" s="6"/>
      <c r="J543" s="6"/>
      <c r="K543" s="6"/>
      <c r="L543" s="6"/>
      <c r="M543" s="6"/>
      <c r="N543" s="6"/>
      <c r="O543" s="6"/>
      <c r="P543" s="6"/>
      <c r="Q543" s="6"/>
      <c r="R543" s="6"/>
      <c r="S543" s="6"/>
      <c r="T543" s="6"/>
      <c r="U543" s="6"/>
      <c r="V543" s="6"/>
      <c r="W543" s="6"/>
    </row>
    <row r="544" spans="1:23" x14ac:dyDescent="0.35">
      <c r="A544" s="6"/>
      <c r="B544" s="6"/>
      <c r="C544" s="6"/>
      <c r="D544" s="6"/>
      <c r="E544" s="6"/>
      <c r="F544" s="6"/>
      <c r="G544" s="6"/>
      <c r="H544" s="6"/>
      <c r="I544" s="6"/>
      <c r="J544" s="6"/>
      <c r="K544" s="6"/>
      <c r="L544" s="6"/>
      <c r="M544" s="6"/>
      <c r="N544" s="6"/>
      <c r="O544" s="6"/>
      <c r="P544" s="6"/>
      <c r="Q544" s="6"/>
      <c r="R544" s="6"/>
      <c r="S544" s="6"/>
      <c r="T544" s="6"/>
      <c r="U544" s="6"/>
      <c r="V544" s="6"/>
      <c r="W544" s="6"/>
    </row>
    <row r="545" spans="1:23" x14ac:dyDescent="0.35">
      <c r="A545" s="6"/>
      <c r="B545" s="6"/>
      <c r="C545" s="6"/>
      <c r="D545" s="6"/>
      <c r="E545" s="6"/>
      <c r="F545" s="6"/>
      <c r="G545" s="6"/>
      <c r="H545" s="6"/>
      <c r="I545" s="6"/>
      <c r="J545" s="6"/>
      <c r="K545" s="6"/>
      <c r="L545" s="6"/>
      <c r="M545" s="6"/>
      <c r="N545" s="6"/>
      <c r="O545" s="6"/>
      <c r="P545" s="6"/>
      <c r="Q545" s="6"/>
      <c r="R545" s="6"/>
      <c r="S545" s="6"/>
      <c r="T545" s="6"/>
      <c r="U545" s="6"/>
      <c r="V545" s="6"/>
      <c r="W545" s="6"/>
    </row>
    <row r="546" spans="1:23" x14ac:dyDescent="0.35">
      <c r="A546" s="6"/>
      <c r="B546" s="6"/>
      <c r="C546" s="6"/>
      <c r="D546" s="6"/>
      <c r="E546" s="6"/>
      <c r="F546" s="6"/>
      <c r="G546" s="6"/>
      <c r="H546" s="6"/>
      <c r="I546" s="6"/>
      <c r="J546" s="6"/>
      <c r="K546" s="6"/>
      <c r="L546" s="6"/>
      <c r="M546" s="6"/>
      <c r="N546" s="6"/>
      <c r="O546" s="6"/>
      <c r="P546" s="6"/>
      <c r="Q546" s="6"/>
      <c r="R546" s="6"/>
      <c r="S546" s="6"/>
      <c r="T546" s="6"/>
      <c r="U546" s="6"/>
      <c r="V546" s="6"/>
      <c r="W546" s="6"/>
    </row>
    <row r="547" spans="1:23" x14ac:dyDescent="0.35">
      <c r="A547" s="6"/>
      <c r="B547" s="6"/>
      <c r="C547" s="6"/>
      <c r="D547" s="6"/>
      <c r="E547" s="6"/>
      <c r="F547" s="6"/>
      <c r="G547" s="6"/>
      <c r="H547" s="6"/>
      <c r="I547" s="6"/>
      <c r="J547" s="6"/>
      <c r="K547" s="6"/>
      <c r="L547" s="6"/>
      <c r="M547" s="6"/>
      <c r="N547" s="6"/>
      <c r="O547" s="6"/>
      <c r="P547" s="6"/>
      <c r="Q547" s="6"/>
      <c r="R547" s="6"/>
      <c r="S547" s="6"/>
      <c r="T547" s="6"/>
      <c r="U547" s="6"/>
      <c r="V547" s="6"/>
      <c r="W547" s="6"/>
    </row>
    <row r="548" spans="1:23" x14ac:dyDescent="0.35">
      <c r="A548" s="6"/>
      <c r="B548" s="6"/>
      <c r="C548" s="6"/>
      <c r="D548" s="6"/>
      <c r="E548" s="6"/>
      <c r="F548" s="6"/>
      <c r="G548" s="6"/>
      <c r="H548" s="6"/>
      <c r="I548" s="6"/>
      <c r="J548" s="6"/>
      <c r="K548" s="6"/>
      <c r="L548" s="6"/>
      <c r="M548" s="6"/>
      <c r="N548" s="6"/>
      <c r="O548" s="6"/>
      <c r="P548" s="6"/>
      <c r="Q548" s="6"/>
      <c r="R548" s="6"/>
      <c r="S548" s="6"/>
      <c r="T548" s="6"/>
      <c r="U548" s="6"/>
      <c r="V548" s="6"/>
      <c r="W548" s="6"/>
    </row>
    <row r="549" spans="1:23" x14ac:dyDescent="0.35">
      <c r="A549" s="6"/>
      <c r="B549" s="6"/>
      <c r="C549" s="6"/>
      <c r="D549" s="6"/>
      <c r="E549" s="6"/>
      <c r="F549" s="6"/>
      <c r="G549" s="6"/>
      <c r="H549" s="6"/>
      <c r="I549" s="6"/>
      <c r="J549" s="6"/>
      <c r="K549" s="6"/>
      <c r="L549" s="6"/>
      <c r="M549" s="6"/>
      <c r="N549" s="6"/>
      <c r="O549" s="6"/>
      <c r="P549" s="6"/>
      <c r="Q549" s="6"/>
      <c r="R549" s="6"/>
      <c r="S549" s="6"/>
      <c r="T549" s="6"/>
      <c r="U549" s="6"/>
      <c r="V549" s="6"/>
      <c r="W549" s="6"/>
    </row>
    <row r="550" spans="1:23" x14ac:dyDescent="0.35">
      <c r="A550" s="6"/>
      <c r="B550" s="6"/>
      <c r="C550" s="6"/>
      <c r="D550" s="6"/>
      <c r="E550" s="6"/>
      <c r="F550" s="6"/>
      <c r="G550" s="6"/>
      <c r="H550" s="6"/>
      <c r="I550" s="6"/>
      <c r="J550" s="6"/>
      <c r="K550" s="6"/>
      <c r="L550" s="6"/>
      <c r="M550" s="6"/>
      <c r="N550" s="6"/>
      <c r="O550" s="6"/>
      <c r="P550" s="6"/>
      <c r="Q550" s="6"/>
      <c r="R550" s="6"/>
      <c r="S550" s="6"/>
      <c r="T550" s="6"/>
      <c r="U550" s="6"/>
      <c r="V550" s="6"/>
      <c r="W550" s="6"/>
    </row>
    <row r="551" spans="1:23" x14ac:dyDescent="0.35">
      <c r="A551" s="6"/>
      <c r="B551" s="6"/>
      <c r="C551" s="6"/>
      <c r="D551" s="6"/>
      <c r="E551" s="6"/>
      <c r="F551" s="6"/>
      <c r="G551" s="6"/>
      <c r="H551" s="6"/>
      <c r="I551" s="6"/>
      <c r="J551" s="6"/>
      <c r="K551" s="6"/>
      <c r="L551" s="6"/>
      <c r="M551" s="6"/>
      <c r="N551" s="6"/>
      <c r="O551" s="6"/>
      <c r="P551" s="6"/>
      <c r="Q551" s="6"/>
      <c r="R551" s="6"/>
      <c r="S551" s="6"/>
      <c r="T551" s="6"/>
      <c r="U551" s="6"/>
      <c r="V551" s="6"/>
      <c r="W551" s="6"/>
    </row>
    <row r="552" spans="1:23" x14ac:dyDescent="0.35">
      <c r="A552" s="6"/>
      <c r="B552" s="6"/>
      <c r="C552" s="6"/>
      <c r="D552" s="6"/>
      <c r="E552" s="6"/>
      <c r="F552" s="6"/>
      <c r="G552" s="6"/>
      <c r="H552" s="6"/>
      <c r="I552" s="6"/>
      <c r="J552" s="6"/>
      <c r="K552" s="6"/>
      <c r="L552" s="6"/>
      <c r="M552" s="6"/>
      <c r="N552" s="6"/>
      <c r="O552" s="6"/>
      <c r="P552" s="6"/>
      <c r="Q552" s="6"/>
      <c r="R552" s="6"/>
      <c r="S552" s="6"/>
      <c r="T552" s="6"/>
      <c r="U552" s="6"/>
      <c r="V552" s="6"/>
      <c r="W552" s="6"/>
    </row>
    <row r="553" spans="1:23" x14ac:dyDescent="0.35">
      <c r="A553" s="6"/>
      <c r="B553" s="6"/>
      <c r="C553" s="6"/>
      <c r="D553" s="6"/>
      <c r="E553" s="6"/>
      <c r="F553" s="6"/>
      <c r="G553" s="6"/>
      <c r="H553" s="6"/>
      <c r="I553" s="6"/>
      <c r="J553" s="6"/>
      <c r="K553" s="6"/>
      <c r="L553" s="6"/>
      <c r="M553" s="6"/>
      <c r="N553" s="6"/>
      <c r="O553" s="6"/>
      <c r="P553" s="6"/>
      <c r="Q553" s="6"/>
      <c r="R553" s="6"/>
      <c r="S553" s="6"/>
      <c r="T553" s="6"/>
      <c r="U553" s="6"/>
      <c r="V553" s="6"/>
      <c r="W553" s="6"/>
    </row>
    <row r="554" spans="1:23" x14ac:dyDescent="0.35">
      <c r="A554" s="6"/>
      <c r="B554" s="6"/>
      <c r="C554" s="6"/>
      <c r="D554" s="6"/>
      <c r="E554" s="6"/>
      <c r="F554" s="6"/>
      <c r="G554" s="6"/>
      <c r="H554" s="6"/>
      <c r="I554" s="6"/>
      <c r="J554" s="6"/>
      <c r="K554" s="6"/>
      <c r="L554" s="6"/>
      <c r="M554" s="6"/>
      <c r="N554" s="6"/>
      <c r="O554" s="6"/>
      <c r="P554" s="6"/>
      <c r="Q554" s="6"/>
      <c r="R554" s="6"/>
      <c r="S554" s="6"/>
      <c r="T554" s="6"/>
      <c r="U554" s="6"/>
      <c r="V554" s="6"/>
      <c r="W554" s="6"/>
    </row>
    <row r="555" spans="1:23" x14ac:dyDescent="0.35">
      <c r="A555" s="6"/>
      <c r="B555" s="6"/>
      <c r="C555" s="6"/>
      <c r="D555" s="6"/>
      <c r="E555" s="6"/>
      <c r="F555" s="6"/>
      <c r="G555" s="6"/>
      <c r="H555" s="6"/>
      <c r="I555" s="6"/>
      <c r="J555" s="6"/>
      <c r="K555" s="6"/>
      <c r="L555" s="6"/>
      <c r="M555" s="6"/>
      <c r="N555" s="6"/>
      <c r="O555" s="6"/>
      <c r="P555" s="6"/>
      <c r="Q555" s="6"/>
      <c r="R555" s="6"/>
      <c r="S555" s="6"/>
      <c r="T555" s="6"/>
      <c r="U555" s="6"/>
      <c r="V555" s="6"/>
      <c r="W555" s="6"/>
    </row>
    <row r="556" spans="1:23" x14ac:dyDescent="0.35">
      <c r="A556" s="6"/>
      <c r="B556" s="6"/>
      <c r="C556" s="6"/>
      <c r="D556" s="6"/>
      <c r="E556" s="6"/>
      <c r="F556" s="6"/>
      <c r="G556" s="6"/>
      <c r="H556" s="6"/>
      <c r="I556" s="6"/>
      <c r="J556" s="6"/>
      <c r="K556" s="6"/>
      <c r="L556" s="6"/>
      <c r="M556" s="6"/>
      <c r="N556" s="6"/>
      <c r="O556" s="6"/>
      <c r="P556" s="6"/>
      <c r="Q556" s="6"/>
      <c r="R556" s="6"/>
      <c r="S556" s="6"/>
      <c r="T556" s="6"/>
      <c r="U556" s="6"/>
      <c r="V556" s="6"/>
      <c r="W556" s="6"/>
    </row>
    <row r="557" spans="1:23" x14ac:dyDescent="0.35">
      <c r="A557" s="6"/>
      <c r="B557" s="6"/>
      <c r="C557" s="6"/>
      <c r="D557" s="6"/>
      <c r="E557" s="6"/>
      <c r="F557" s="6"/>
      <c r="G557" s="6"/>
      <c r="H557" s="6"/>
      <c r="I557" s="6"/>
      <c r="J557" s="6"/>
      <c r="K557" s="6"/>
      <c r="L557" s="6"/>
      <c r="M557" s="6"/>
      <c r="N557" s="6"/>
      <c r="O557" s="6"/>
      <c r="P557" s="6"/>
      <c r="Q557" s="6"/>
      <c r="R557" s="6"/>
      <c r="S557" s="6"/>
      <c r="T557" s="6"/>
      <c r="U557" s="6"/>
      <c r="V557" s="6"/>
      <c r="W557" s="6"/>
    </row>
    <row r="558" spans="1:23" x14ac:dyDescent="0.35">
      <c r="A558" s="6"/>
      <c r="B558" s="6"/>
      <c r="C558" s="6"/>
      <c r="D558" s="6"/>
      <c r="E558" s="6"/>
      <c r="F558" s="6"/>
      <c r="G558" s="6"/>
      <c r="H558" s="6"/>
      <c r="I558" s="6"/>
      <c r="J558" s="6"/>
      <c r="K558" s="6"/>
      <c r="L558" s="6"/>
      <c r="M558" s="6"/>
      <c r="N558" s="6"/>
      <c r="O558" s="6"/>
      <c r="P558" s="6"/>
      <c r="Q558" s="6"/>
      <c r="R558" s="6"/>
      <c r="S558" s="6"/>
      <c r="T558" s="6"/>
      <c r="U558" s="6"/>
      <c r="V558" s="6"/>
      <c r="W558" s="6"/>
    </row>
    <row r="559" spans="1:23" x14ac:dyDescent="0.35">
      <c r="A559" s="6"/>
      <c r="B559" s="6"/>
      <c r="C559" s="6"/>
      <c r="D559" s="6"/>
      <c r="E559" s="6"/>
      <c r="F559" s="6"/>
      <c r="G559" s="6"/>
      <c r="H559" s="6"/>
      <c r="I559" s="6"/>
      <c r="J559" s="6"/>
      <c r="K559" s="6"/>
      <c r="L559" s="6"/>
      <c r="M559" s="6"/>
      <c r="N559" s="6"/>
      <c r="O559" s="6"/>
      <c r="P559" s="6"/>
      <c r="Q559" s="6"/>
      <c r="R559" s="6"/>
      <c r="S559" s="6"/>
      <c r="T559" s="6"/>
      <c r="U559" s="6"/>
      <c r="V559" s="6"/>
      <c r="W559" s="6"/>
    </row>
    <row r="560" spans="1:23" x14ac:dyDescent="0.35">
      <c r="A560" s="6"/>
      <c r="B560" s="6"/>
      <c r="C560" s="6"/>
      <c r="D560" s="6"/>
      <c r="E560" s="6"/>
      <c r="F560" s="6"/>
      <c r="G560" s="6"/>
      <c r="H560" s="6"/>
      <c r="I560" s="6"/>
      <c r="J560" s="6"/>
      <c r="K560" s="6"/>
      <c r="L560" s="6"/>
      <c r="M560" s="6"/>
      <c r="N560" s="6"/>
      <c r="O560" s="6"/>
      <c r="P560" s="6"/>
      <c r="Q560" s="6"/>
      <c r="R560" s="6"/>
      <c r="S560" s="6"/>
      <c r="T560" s="6"/>
      <c r="U560" s="6"/>
      <c r="V560" s="6"/>
      <c r="W560" s="6"/>
    </row>
    <row r="561" spans="1:23" x14ac:dyDescent="0.35">
      <c r="A561" s="6"/>
      <c r="B561" s="6"/>
      <c r="C561" s="6"/>
      <c r="D561" s="6"/>
      <c r="E561" s="6"/>
      <c r="F561" s="6"/>
      <c r="G561" s="6"/>
      <c r="H561" s="6"/>
      <c r="I561" s="6"/>
      <c r="J561" s="6"/>
      <c r="K561" s="6"/>
      <c r="L561" s="6"/>
      <c r="M561" s="6"/>
      <c r="N561" s="6"/>
      <c r="O561" s="6"/>
      <c r="P561" s="6"/>
      <c r="Q561" s="6"/>
      <c r="R561" s="6"/>
      <c r="S561" s="6"/>
      <c r="T561" s="6"/>
      <c r="U561" s="6"/>
      <c r="V561" s="6"/>
      <c r="W561" s="6"/>
    </row>
    <row r="562" spans="1:23" x14ac:dyDescent="0.35">
      <c r="A562" s="6"/>
      <c r="B562" s="6"/>
      <c r="C562" s="6"/>
      <c r="D562" s="6"/>
      <c r="E562" s="6"/>
      <c r="F562" s="6"/>
      <c r="G562" s="6"/>
      <c r="H562" s="6"/>
      <c r="I562" s="6"/>
      <c r="J562" s="6"/>
      <c r="K562" s="6"/>
      <c r="L562" s="6"/>
      <c r="M562" s="6"/>
      <c r="N562" s="6"/>
      <c r="O562" s="6"/>
      <c r="P562" s="6"/>
      <c r="Q562" s="6"/>
      <c r="R562" s="6"/>
      <c r="S562" s="6"/>
      <c r="T562" s="6"/>
      <c r="U562" s="6"/>
      <c r="V562" s="6"/>
      <c r="W562" s="6"/>
    </row>
    <row r="563" spans="1:23" x14ac:dyDescent="0.35">
      <c r="A563" s="6"/>
      <c r="B563" s="6"/>
      <c r="C563" s="6"/>
      <c r="D563" s="6"/>
      <c r="E563" s="6"/>
      <c r="F563" s="6"/>
      <c r="G563" s="6"/>
      <c r="H563" s="6"/>
      <c r="I563" s="6"/>
      <c r="J563" s="6"/>
      <c r="K563" s="6"/>
      <c r="L563" s="6"/>
      <c r="M563" s="6"/>
      <c r="N563" s="6"/>
      <c r="O563" s="6"/>
      <c r="P563" s="6"/>
      <c r="Q563" s="6"/>
      <c r="R563" s="6"/>
      <c r="S563" s="6"/>
      <c r="T563" s="6"/>
      <c r="U563" s="6"/>
      <c r="V563" s="6"/>
      <c r="W563" s="6"/>
    </row>
    <row r="564" spans="1:23" x14ac:dyDescent="0.35">
      <c r="A564" s="6"/>
      <c r="B564" s="6"/>
      <c r="C564" s="6"/>
      <c r="D564" s="6"/>
      <c r="E564" s="6"/>
      <c r="F564" s="6"/>
      <c r="G564" s="6"/>
      <c r="H564" s="6"/>
      <c r="I564" s="6"/>
      <c r="J564" s="6"/>
      <c r="K564" s="6"/>
      <c r="L564" s="6"/>
      <c r="M564" s="6"/>
      <c r="N564" s="6"/>
      <c r="O564" s="6"/>
      <c r="P564" s="6"/>
      <c r="Q564" s="6"/>
      <c r="R564" s="6"/>
      <c r="S564" s="6"/>
      <c r="T564" s="6"/>
      <c r="U564" s="6"/>
      <c r="V564" s="6"/>
      <c r="W564" s="6"/>
    </row>
    <row r="565" spans="1:23" x14ac:dyDescent="0.35">
      <c r="A565" s="6"/>
      <c r="B565" s="6"/>
      <c r="C565" s="6"/>
      <c r="D565" s="6"/>
      <c r="E565" s="6"/>
      <c r="F565" s="6"/>
      <c r="G565" s="6"/>
      <c r="H565" s="6"/>
      <c r="I565" s="6"/>
      <c r="J565" s="6"/>
      <c r="K565" s="6"/>
      <c r="L565" s="6"/>
      <c r="M565" s="6"/>
      <c r="N565" s="6"/>
      <c r="O565" s="6"/>
      <c r="P565" s="6"/>
      <c r="Q565" s="6"/>
      <c r="R565" s="6"/>
      <c r="S565" s="6"/>
      <c r="T565" s="6"/>
      <c r="U565" s="6"/>
      <c r="V565" s="6"/>
      <c r="W565" s="6"/>
    </row>
    <row r="566" spans="1:23" x14ac:dyDescent="0.35">
      <c r="A566" s="6"/>
      <c r="B566" s="6"/>
      <c r="C566" s="6"/>
      <c r="D566" s="6"/>
      <c r="E566" s="6"/>
      <c r="F566" s="6"/>
      <c r="G566" s="6"/>
      <c r="H566" s="6"/>
      <c r="I566" s="6"/>
      <c r="J566" s="6"/>
      <c r="K566" s="6"/>
      <c r="L566" s="6"/>
      <c r="M566" s="6"/>
      <c r="N566" s="6"/>
      <c r="O566" s="6"/>
      <c r="P566" s="6"/>
      <c r="Q566" s="6"/>
      <c r="R566" s="6"/>
      <c r="S566" s="6"/>
      <c r="T566" s="6"/>
      <c r="U566" s="6"/>
      <c r="V566" s="6"/>
      <c r="W566" s="6"/>
    </row>
    <row r="567" spans="1:23" x14ac:dyDescent="0.35">
      <c r="A567" s="6"/>
      <c r="B567" s="6"/>
      <c r="C567" s="6"/>
      <c r="D567" s="6"/>
      <c r="E567" s="6"/>
      <c r="F567" s="6"/>
      <c r="G567" s="6"/>
      <c r="H567" s="6"/>
      <c r="I567" s="6"/>
      <c r="J567" s="6"/>
      <c r="K567" s="6"/>
      <c r="L567" s="6"/>
      <c r="M567" s="6"/>
      <c r="N567" s="6"/>
      <c r="O567" s="6"/>
      <c r="P567" s="6"/>
      <c r="Q567" s="6"/>
      <c r="R567" s="6"/>
      <c r="S567" s="6"/>
      <c r="T567" s="6"/>
      <c r="U567" s="6"/>
      <c r="V567" s="6"/>
      <c r="W567" s="6"/>
    </row>
    <row r="568" spans="1:23" x14ac:dyDescent="0.35">
      <c r="A568" s="6"/>
      <c r="B568" s="6"/>
      <c r="C568" s="6"/>
      <c r="D568" s="6"/>
      <c r="E568" s="6"/>
      <c r="F568" s="6"/>
      <c r="G568" s="6"/>
      <c r="H568" s="6"/>
      <c r="I568" s="6"/>
      <c r="J568" s="6"/>
      <c r="K568" s="6"/>
      <c r="L568" s="6"/>
      <c r="M568" s="6"/>
      <c r="N568" s="6"/>
      <c r="O568" s="6"/>
      <c r="P568" s="6"/>
      <c r="Q568" s="6"/>
      <c r="R568" s="6"/>
      <c r="S568" s="6"/>
      <c r="T568" s="6"/>
      <c r="U568" s="6"/>
      <c r="V568" s="6"/>
      <c r="W568" s="6"/>
    </row>
    <row r="569" spans="1:23" x14ac:dyDescent="0.35">
      <c r="A569" s="6"/>
      <c r="B569" s="6"/>
      <c r="C569" s="6"/>
      <c r="D569" s="6"/>
      <c r="E569" s="6"/>
      <c r="F569" s="6"/>
      <c r="G569" s="6"/>
      <c r="H569" s="6"/>
      <c r="I569" s="6"/>
      <c r="J569" s="6"/>
      <c r="K569" s="6"/>
      <c r="L569" s="6"/>
      <c r="M569" s="6"/>
      <c r="N569" s="6"/>
      <c r="O569" s="6"/>
      <c r="P569" s="6"/>
      <c r="Q569" s="6"/>
      <c r="R569" s="6"/>
      <c r="S569" s="6"/>
      <c r="T569" s="6"/>
      <c r="U569" s="6"/>
      <c r="V569" s="6"/>
      <c r="W569" s="6"/>
    </row>
    <row r="570" spans="1:23" x14ac:dyDescent="0.35">
      <c r="A570" s="6"/>
      <c r="B570" s="6"/>
      <c r="C570" s="6"/>
      <c r="D570" s="6"/>
      <c r="E570" s="6"/>
      <c r="F570" s="6"/>
      <c r="G570" s="6"/>
      <c r="H570" s="6"/>
      <c r="I570" s="6"/>
      <c r="J570" s="6"/>
      <c r="K570" s="6"/>
      <c r="L570" s="6"/>
      <c r="M570" s="6"/>
      <c r="N570" s="6"/>
      <c r="O570" s="6"/>
      <c r="P570" s="6"/>
      <c r="Q570" s="6"/>
      <c r="R570" s="6"/>
      <c r="S570" s="6"/>
      <c r="T570" s="6"/>
      <c r="U570" s="6"/>
      <c r="V570" s="6"/>
      <c r="W570" s="6"/>
    </row>
    <row r="571" spans="1:23" x14ac:dyDescent="0.35">
      <c r="A571" s="6"/>
      <c r="B571" s="6"/>
      <c r="C571" s="6"/>
      <c r="D571" s="6"/>
      <c r="E571" s="6"/>
      <c r="F571" s="6"/>
      <c r="G571" s="6"/>
      <c r="H571" s="6"/>
      <c r="I571" s="6"/>
      <c r="J571" s="6"/>
      <c r="K571" s="6"/>
      <c r="L571" s="6"/>
      <c r="M571" s="6"/>
      <c r="N571" s="6"/>
      <c r="O571" s="6"/>
      <c r="P571" s="6"/>
      <c r="Q571" s="6"/>
      <c r="R571" s="6"/>
      <c r="S571" s="6"/>
      <c r="T571" s="6"/>
      <c r="U571" s="6"/>
      <c r="V571" s="6"/>
      <c r="W571" s="6"/>
    </row>
    <row r="572" spans="1:23" x14ac:dyDescent="0.35">
      <c r="A572" s="6"/>
      <c r="B572" s="6"/>
      <c r="C572" s="6"/>
      <c r="D572" s="6"/>
      <c r="E572" s="6"/>
      <c r="F572" s="6"/>
      <c r="G572" s="6"/>
      <c r="H572" s="6"/>
      <c r="I572" s="6"/>
      <c r="J572" s="6"/>
      <c r="K572" s="6"/>
      <c r="L572" s="6"/>
      <c r="M572" s="6"/>
      <c r="N572" s="6"/>
      <c r="O572" s="6"/>
      <c r="P572" s="6"/>
      <c r="Q572" s="6"/>
      <c r="R572" s="6"/>
      <c r="S572" s="6"/>
      <c r="T572" s="6"/>
      <c r="U572" s="6"/>
      <c r="V572" s="6"/>
      <c r="W572" s="6"/>
    </row>
    <row r="573" spans="1:23" x14ac:dyDescent="0.35">
      <c r="A573" s="6"/>
      <c r="B573" s="6"/>
      <c r="C573" s="6"/>
      <c r="D573" s="6"/>
      <c r="E573" s="6"/>
      <c r="F573" s="6"/>
      <c r="G573" s="6"/>
      <c r="H573" s="6"/>
      <c r="I573" s="6"/>
      <c r="J573" s="6"/>
      <c r="K573" s="6"/>
      <c r="L573" s="6"/>
      <c r="M573" s="6"/>
      <c r="N573" s="6"/>
      <c r="O573" s="6"/>
      <c r="P573" s="6"/>
      <c r="Q573" s="6"/>
      <c r="R573" s="6"/>
      <c r="S573" s="6"/>
      <c r="T573" s="6"/>
      <c r="U573" s="6"/>
      <c r="V573" s="6"/>
      <c r="W573" s="6"/>
    </row>
    <row r="574" spans="1:23" x14ac:dyDescent="0.35">
      <c r="A574" s="6"/>
      <c r="B574" s="6"/>
      <c r="C574" s="6"/>
      <c r="D574" s="6"/>
      <c r="E574" s="6"/>
      <c r="F574" s="6"/>
      <c r="G574" s="6"/>
      <c r="H574" s="6"/>
      <c r="I574" s="6"/>
      <c r="J574" s="6"/>
      <c r="K574" s="6"/>
      <c r="L574" s="6"/>
      <c r="M574" s="6"/>
      <c r="N574" s="6"/>
      <c r="O574" s="6"/>
      <c r="P574" s="6"/>
      <c r="Q574" s="6"/>
      <c r="R574" s="6"/>
      <c r="S574" s="6"/>
      <c r="T574" s="6"/>
      <c r="U574" s="6"/>
      <c r="V574" s="6"/>
      <c r="W574" s="6"/>
    </row>
    <row r="575" spans="1:23" x14ac:dyDescent="0.35">
      <c r="A575" s="6"/>
      <c r="B575" s="6"/>
      <c r="C575" s="6"/>
      <c r="D575" s="6"/>
      <c r="E575" s="6"/>
      <c r="F575" s="6"/>
      <c r="G575" s="6"/>
      <c r="H575" s="6"/>
      <c r="I575" s="6"/>
      <c r="J575" s="6"/>
      <c r="K575" s="6"/>
      <c r="L575" s="6"/>
      <c r="M575" s="6"/>
      <c r="N575" s="6"/>
      <c r="O575" s="6"/>
      <c r="P575" s="6"/>
      <c r="Q575" s="6"/>
      <c r="R575" s="6"/>
      <c r="S575" s="6"/>
      <c r="T575" s="6"/>
      <c r="U575" s="6"/>
      <c r="V575" s="6"/>
      <c r="W575" s="6"/>
    </row>
    <row r="576" spans="1:23" x14ac:dyDescent="0.35">
      <c r="A576" s="6"/>
      <c r="B576" s="6"/>
      <c r="C576" s="6"/>
      <c r="D576" s="6"/>
      <c r="E576" s="6"/>
      <c r="F576" s="6"/>
      <c r="G576" s="6"/>
      <c r="H576" s="6"/>
      <c r="I576" s="6"/>
      <c r="J576" s="6"/>
      <c r="K576" s="6"/>
      <c r="L576" s="6"/>
      <c r="M576" s="6"/>
      <c r="N576" s="6"/>
      <c r="O576" s="6"/>
      <c r="P576" s="6"/>
      <c r="Q576" s="6"/>
      <c r="R576" s="6"/>
      <c r="S576" s="6"/>
      <c r="T576" s="6"/>
      <c r="U576" s="6"/>
      <c r="V576" s="6"/>
      <c r="W576" s="6"/>
    </row>
    <row r="577" spans="1:23" x14ac:dyDescent="0.35">
      <c r="A577" s="6"/>
      <c r="B577" s="6"/>
      <c r="C577" s="6"/>
      <c r="D577" s="6"/>
      <c r="E577" s="6"/>
      <c r="F577" s="6"/>
      <c r="G577" s="6"/>
      <c r="H577" s="6"/>
      <c r="I577" s="6"/>
      <c r="J577" s="6"/>
      <c r="K577" s="6"/>
      <c r="L577" s="6"/>
      <c r="M577" s="6"/>
      <c r="N577" s="6"/>
      <c r="O577" s="6"/>
      <c r="P577" s="6"/>
      <c r="Q577" s="6"/>
      <c r="R577" s="6"/>
      <c r="S577" s="6"/>
      <c r="T577" s="6"/>
      <c r="U577" s="6"/>
      <c r="V577" s="6"/>
      <c r="W577" s="6"/>
    </row>
    <row r="578" spans="1:23" x14ac:dyDescent="0.35">
      <c r="A578" s="6"/>
      <c r="B578" s="6"/>
      <c r="C578" s="6"/>
      <c r="D578" s="6"/>
      <c r="E578" s="6"/>
      <c r="F578" s="6"/>
      <c r="G578" s="6"/>
      <c r="H578" s="6"/>
      <c r="I578" s="6"/>
      <c r="J578" s="6"/>
      <c r="K578" s="6"/>
      <c r="L578" s="6"/>
      <c r="M578" s="6"/>
      <c r="N578" s="6"/>
      <c r="O578" s="6"/>
      <c r="P578" s="6"/>
      <c r="Q578" s="6"/>
      <c r="R578" s="6"/>
      <c r="S578" s="6"/>
      <c r="T578" s="6"/>
      <c r="U578" s="6"/>
      <c r="V578" s="6"/>
      <c r="W578" s="6"/>
    </row>
    <row r="579" spans="1:23" x14ac:dyDescent="0.35">
      <c r="A579" s="6"/>
      <c r="B579" s="6"/>
      <c r="C579" s="6"/>
      <c r="D579" s="6"/>
      <c r="E579" s="6"/>
      <c r="F579" s="6"/>
      <c r="G579" s="6"/>
      <c r="H579" s="6"/>
      <c r="I579" s="6"/>
      <c r="J579" s="6"/>
      <c r="K579" s="6"/>
      <c r="L579" s="6"/>
      <c r="M579" s="6"/>
      <c r="N579" s="6"/>
      <c r="O579" s="6"/>
      <c r="P579" s="6"/>
      <c r="Q579" s="6"/>
      <c r="R579" s="6"/>
      <c r="S579" s="6"/>
      <c r="T579" s="6"/>
      <c r="U579" s="6"/>
      <c r="V579" s="6"/>
      <c r="W579" s="6"/>
    </row>
    <row r="580" spans="1:23" x14ac:dyDescent="0.35">
      <c r="A580" s="6"/>
      <c r="B580" s="6"/>
      <c r="C580" s="6"/>
      <c r="D580" s="6"/>
      <c r="E580" s="6"/>
      <c r="F580" s="6"/>
      <c r="G580" s="6"/>
      <c r="H580" s="6"/>
      <c r="I580" s="6"/>
      <c r="J580" s="6"/>
      <c r="K580" s="6"/>
      <c r="L580" s="6"/>
      <c r="M580" s="6"/>
      <c r="N580" s="6"/>
      <c r="O580" s="6"/>
      <c r="P580" s="6"/>
      <c r="Q580" s="6"/>
      <c r="R580" s="6"/>
      <c r="S580" s="6"/>
      <c r="T580" s="6"/>
      <c r="U580" s="6"/>
      <c r="V580" s="6"/>
      <c r="W580" s="6"/>
    </row>
    <row r="581" spans="1:23" x14ac:dyDescent="0.35">
      <c r="A581" s="6"/>
      <c r="B581" s="6"/>
      <c r="C581" s="6"/>
      <c r="D581" s="6"/>
      <c r="E581" s="6"/>
      <c r="F581" s="6"/>
      <c r="G581" s="6"/>
      <c r="H581" s="6"/>
      <c r="I581" s="6"/>
      <c r="J581" s="6"/>
      <c r="K581" s="6"/>
      <c r="L581" s="6"/>
      <c r="M581" s="6"/>
      <c r="N581" s="6"/>
      <c r="O581" s="6"/>
      <c r="P581" s="6"/>
      <c r="Q581" s="6"/>
      <c r="R581" s="6"/>
      <c r="S581" s="6"/>
      <c r="T581" s="6"/>
      <c r="U581" s="6"/>
      <c r="V581" s="6"/>
      <c r="W581" s="6"/>
    </row>
    <row r="582" spans="1:23" x14ac:dyDescent="0.35">
      <c r="A582" s="6"/>
      <c r="B582" s="6"/>
      <c r="C582" s="6"/>
      <c r="D582" s="6"/>
      <c r="E582" s="6"/>
      <c r="F582" s="6"/>
      <c r="G582" s="6"/>
      <c r="H582" s="6"/>
      <c r="I582" s="6"/>
      <c r="J582" s="6"/>
      <c r="K582" s="6"/>
      <c r="L582" s="6"/>
      <c r="M582" s="6"/>
      <c r="N582" s="6"/>
      <c r="O582" s="6"/>
      <c r="P582" s="6"/>
      <c r="Q582" s="6"/>
      <c r="R582" s="6"/>
      <c r="S582" s="6"/>
      <c r="T582" s="6"/>
      <c r="U582" s="6"/>
      <c r="V582" s="6"/>
      <c r="W582" s="6"/>
    </row>
    <row r="583" spans="1:23" x14ac:dyDescent="0.35">
      <c r="A583" s="6"/>
      <c r="B583" s="6"/>
      <c r="C583" s="6"/>
      <c r="D583" s="6"/>
      <c r="E583" s="6"/>
      <c r="F583" s="6"/>
      <c r="G583" s="6"/>
      <c r="H583" s="6"/>
      <c r="I583" s="6"/>
      <c r="J583" s="6"/>
      <c r="K583" s="6"/>
      <c r="L583" s="6"/>
      <c r="M583" s="6"/>
      <c r="N583" s="6"/>
      <c r="O583" s="6"/>
      <c r="P583" s="6"/>
      <c r="Q583" s="6"/>
      <c r="R583" s="6"/>
      <c r="S583" s="6"/>
      <c r="T583" s="6"/>
      <c r="U583" s="6"/>
      <c r="V583" s="6"/>
      <c r="W583" s="6"/>
    </row>
    <row r="584" spans="1:23" x14ac:dyDescent="0.35">
      <c r="A584" s="6"/>
      <c r="B584" s="6"/>
      <c r="C584" s="6"/>
      <c r="D584" s="6"/>
      <c r="E584" s="6"/>
      <c r="F584" s="6"/>
      <c r="G584" s="6"/>
      <c r="H584" s="6"/>
      <c r="I584" s="6"/>
      <c r="J584" s="6"/>
      <c r="K584" s="6"/>
      <c r="L584" s="6"/>
      <c r="M584" s="6"/>
      <c r="N584" s="6"/>
      <c r="O584" s="6"/>
      <c r="P584" s="6"/>
      <c r="Q584" s="6"/>
      <c r="R584" s="6"/>
      <c r="S584" s="6"/>
      <c r="T584" s="6"/>
      <c r="U584" s="6"/>
      <c r="V584" s="6"/>
      <c r="W584" s="6"/>
    </row>
    <row r="585" spans="1:23" x14ac:dyDescent="0.35">
      <c r="A585" s="6"/>
      <c r="B585" s="6"/>
      <c r="C585" s="6"/>
      <c r="D585" s="6"/>
      <c r="E585" s="6"/>
      <c r="F585" s="6"/>
      <c r="G585" s="6"/>
      <c r="H585" s="6"/>
      <c r="I585" s="6"/>
      <c r="J585" s="6"/>
      <c r="K585" s="6"/>
      <c r="L585" s="6"/>
      <c r="M585" s="6"/>
      <c r="N585" s="6"/>
      <c r="O585" s="6"/>
      <c r="P585" s="6"/>
      <c r="Q585" s="6"/>
      <c r="R585" s="6"/>
      <c r="S585" s="6"/>
      <c r="T585" s="6"/>
      <c r="U585" s="6"/>
      <c r="V585" s="6"/>
      <c r="W585" s="6"/>
    </row>
    <row r="586" spans="1:23" x14ac:dyDescent="0.35">
      <c r="A586" s="6"/>
      <c r="B586" s="6"/>
      <c r="C586" s="6"/>
      <c r="D586" s="6"/>
      <c r="E586" s="6"/>
      <c r="F586" s="6"/>
      <c r="G586" s="6"/>
      <c r="H586" s="6"/>
      <c r="I586" s="6"/>
      <c r="J586" s="6"/>
      <c r="K586" s="6"/>
      <c r="L586" s="6"/>
      <c r="M586" s="6"/>
      <c r="N586" s="6"/>
      <c r="O586" s="6"/>
      <c r="P586" s="6"/>
      <c r="Q586" s="6"/>
      <c r="R586" s="6"/>
      <c r="S586" s="6"/>
      <c r="T586" s="6"/>
      <c r="U586" s="6"/>
      <c r="V586" s="6"/>
      <c r="W586" s="6"/>
    </row>
    <row r="587" spans="1:23" x14ac:dyDescent="0.35">
      <c r="A587" s="6"/>
      <c r="B587" s="6"/>
      <c r="C587" s="6"/>
      <c r="D587" s="6"/>
      <c r="E587" s="6"/>
      <c r="F587" s="6"/>
      <c r="G587" s="6"/>
      <c r="H587" s="6"/>
      <c r="I587" s="6"/>
      <c r="J587" s="6"/>
      <c r="K587" s="6"/>
      <c r="L587" s="6"/>
      <c r="M587" s="6"/>
      <c r="N587" s="6"/>
      <c r="O587" s="6"/>
      <c r="P587" s="6"/>
      <c r="Q587" s="6"/>
      <c r="R587" s="6"/>
      <c r="S587" s="6"/>
      <c r="T587" s="6"/>
      <c r="U587" s="6"/>
      <c r="V587" s="6"/>
      <c r="W587" s="6"/>
    </row>
    <row r="588" spans="1:23" x14ac:dyDescent="0.35">
      <c r="A588" s="6"/>
      <c r="B588" s="6"/>
      <c r="C588" s="6"/>
      <c r="D588" s="6"/>
      <c r="E588" s="6"/>
      <c r="F588" s="6"/>
      <c r="G588" s="6"/>
      <c r="H588" s="6"/>
      <c r="I588" s="6"/>
      <c r="J588" s="6"/>
      <c r="K588" s="6"/>
      <c r="L588" s="6"/>
      <c r="M588" s="6"/>
      <c r="N588" s="6"/>
      <c r="O588" s="6"/>
      <c r="P588" s="6"/>
      <c r="Q588" s="6"/>
      <c r="R588" s="6"/>
      <c r="S588" s="6"/>
      <c r="T588" s="6"/>
      <c r="U588" s="6"/>
      <c r="V588" s="6"/>
      <c r="W588" s="6"/>
    </row>
    <row r="589" spans="1:23" x14ac:dyDescent="0.35">
      <c r="A589" s="6"/>
      <c r="B589" s="6"/>
      <c r="C589" s="6"/>
      <c r="D589" s="6"/>
      <c r="E589" s="6"/>
      <c r="F589" s="6"/>
      <c r="G589" s="6"/>
      <c r="H589" s="6"/>
      <c r="I589" s="6"/>
      <c r="J589" s="6"/>
      <c r="K589" s="6"/>
      <c r="L589" s="6"/>
      <c r="M589" s="6"/>
      <c r="N589" s="6"/>
      <c r="O589" s="6"/>
      <c r="P589" s="6"/>
      <c r="Q589" s="6"/>
      <c r="R589" s="6"/>
      <c r="S589" s="6"/>
      <c r="T589" s="6"/>
      <c r="U589" s="6"/>
      <c r="V589" s="6"/>
      <c r="W589" s="6"/>
    </row>
    <row r="590" spans="1:23" x14ac:dyDescent="0.35">
      <c r="A590" s="6"/>
      <c r="B590" s="6"/>
      <c r="C590" s="6"/>
      <c r="D590" s="6"/>
      <c r="E590" s="6"/>
      <c r="F590" s="6"/>
      <c r="G590" s="6"/>
      <c r="H590" s="6"/>
      <c r="I590" s="6"/>
      <c r="J590" s="6"/>
      <c r="K590" s="6"/>
      <c r="L590" s="6"/>
      <c r="M590" s="6"/>
      <c r="N590" s="6"/>
      <c r="O590" s="6"/>
      <c r="P590" s="6"/>
      <c r="Q590" s="6"/>
      <c r="R590" s="6"/>
      <c r="S590" s="6"/>
      <c r="T590" s="6"/>
      <c r="U590" s="6"/>
      <c r="V590" s="6"/>
      <c r="W590" s="6"/>
    </row>
    <row r="591" spans="1:23" x14ac:dyDescent="0.35">
      <c r="A591" s="6"/>
      <c r="B591" s="6"/>
      <c r="C591" s="6"/>
      <c r="D591" s="6"/>
      <c r="E591" s="6"/>
      <c r="F591" s="6"/>
      <c r="G591" s="6"/>
      <c r="H591" s="6"/>
      <c r="I591" s="6"/>
      <c r="J591" s="6"/>
      <c r="K591" s="6"/>
      <c r="L591" s="6"/>
      <c r="M591" s="6"/>
      <c r="N591" s="6"/>
      <c r="O591" s="6"/>
      <c r="P591" s="6"/>
      <c r="Q591" s="6"/>
      <c r="R591" s="6"/>
      <c r="S591" s="6"/>
      <c r="T591" s="6"/>
      <c r="U591" s="6"/>
      <c r="V591" s="6"/>
      <c r="W591" s="6"/>
    </row>
    <row r="592" spans="1:23" x14ac:dyDescent="0.35">
      <c r="A592" s="6"/>
      <c r="B592" s="6"/>
      <c r="C592" s="6"/>
      <c r="D592" s="6"/>
      <c r="E592" s="6"/>
      <c r="F592" s="6"/>
      <c r="G592" s="6"/>
      <c r="H592" s="6"/>
      <c r="I592" s="6"/>
      <c r="J592" s="6"/>
      <c r="K592" s="6"/>
      <c r="L592" s="6"/>
      <c r="M592" s="6"/>
      <c r="N592" s="6"/>
      <c r="O592" s="6"/>
      <c r="P592" s="6"/>
      <c r="Q592" s="6"/>
      <c r="R592" s="6"/>
      <c r="S592" s="6"/>
      <c r="T592" s="6"/>
      <c r="U592" s="6"/>
      <c r="V592" s="6"/>
      <c r="W592" s="6"/>
    </row>
    <row r="593" spans="1:23" x14ac:dyDescent="0.35">
      <c r="A593" s="6"/>
      <c r="B593" s="6"/>
      <c r="C593" s="6"/>
      <c r="D593" s="6"/>
      <c r="E593" s="6"/>
      <c r="F593" s="6"/>
      <c r="G593" s="6"/>
      <c r="H593" s="6"/>
      <c r="I593" s="6"/>
      <c r="J593" s="6"/>
      <c r="K593" s="6"/>
      <c r="L593" s="6"/>
      <c r="M593" s="6"/>
      <c r="N593" s="6"/>
      <c r="O593" s="6"/>
      <c r="P593" s="6"/>
      <c r="Q593" s="6"/>
      <c r="R593" s="6"/>
      <c r="S593" s="6"/>
      <c r="T593" s="6"/>
      <c r="U593" s="6"/>
      <c r="V593" s="6"/>
      <c r="W593" s="6"/>
    </row>
    <row r="594" spans="1:23" x14ac:dyDescent="0.35">
      <c r="A594" s="6"/>
      <c r="B594" s="6"/>
      <c r="C594" s="6"/>
      <c r="D594" s="6"/>
      <c r="E594" s="6"/>
      <c r="F594" s="6"/>
      <c r="G594" s="6"/>
      <c r="H594" s="6"/>
      <c r="I594" s="6"/>
      <c r="J594" s="6"/>
      <c r="K594" s="6"/>
      <c r="L594" s="6"/>
      <c r="M594" s="6"/>
      <c r="N594" s="6"/>
      <c r="O594" s="6"/>
      <c r="P594" s="6"/>
      <c r="Q594" s="6"/>
      <c r="R594" s="6"/>
      <c r="S594" s="6"/>
      <c r="T594" s="6"/>
      <c r="U594" s="6"/>
      <c r="V594" s="6"/>
      <c r="W594" s="6"/>
    </row>
    <row r="595" spans="1:23" x14ac:dyDescent="0.35">
      <c r="A595" s="6"/>
      <c r="B595" s="6"/>
      <c r="C595" s="6"/>
      <c r="D595" s="6"/>
      <c r="E595" s="6"/>
      <c r="F595" s="6"/>
      <c r="G595" s="6"/>
      <c r="H595" s="6"/>
      <c r="I595" s="6"/>
      <c r="J595" s="6"/>
      <c r="K595" s="6"/>
      <c r="L595" s="6"/>
      <c r="M595" s="6"/>
      <c r="N595" s="6"/>
      <c r="O595" s="6"/>
      <c r="P595" s="6"/>
      <c r="Q595" s="6"/>
      <c r="R595" s="6"/>
      <c r="S595" s="6"/>
      <c r="T595" s="6"/>
      <c r="U595" s="6"/>
      <c r="V595" s="6"/>
      <c r="W595" s="6"/>
    </row>
    <row r="596" spans="1:23" x14ac:dyDescent="0.35">
      <c r="A596" s="6"/>
      <c r="B596" s="6"/>
      <c r="C596" s="6"/>
      <c r="D596" s="6"/>
      <c r="E596" s="6"/>
      <c r="F596" s="6"/>
      <c r="G596" s="6"/>
      <c r="H596" s="6"/>
      <c r="I596" s="6"/>
      <c r="J596" s="6"/>
      <c r="K596" s="6"/>
      <c r="L596" s="6"/>
      <c r="M596" s="6"/>
      <c r="N596" s="6"/>
      <c r="O596" s="6"/>
      <c r="P596" s="6"/>
      <c r="Q596" s="6"/>
      <c r="R596" s="6"/>
      <c r="S596" s="6"/>
      <c r="T596" s="6"/>
      <c r="U596" s="6"/>
      <c r="V596" s="6"/>
      <c r="W596" s="6"/>
    </row>
    <row r="597" spans="1:23" x14ac:dyDescent="0.35">
      <c r="A597" s="6"/>
      <c r="B597" s="6"/>
      <c r="C597" s="6"/>
      <c r="D597" s="6"/>
      <c r="E597" s="6"/>
      <c r="F597" s="6"/>
      <c r="G597" s="6"/>
      <c r="H597" s="6"/>
      <c r="I597" s="6"/>
      <c r="J597" s="6"/>
      <c r="K597" s="6"/>
      <c r="L597" s="6"/>
      <c r="M597" s="6"/>
      <c r="N597" s="6"/>
      <c r="O597" s="6"/>
      <c r="P597" s="6"/>
      <c r="Q597" s="6"/>
      <c r="R597" s="6"/>
      <c r="S597" s="6"/>
      <c r="T597" s="6"/>
      <c r="U597" s="6"/>
      <c r="V597" s="6"/>
      <c r="W597" s="6"/>
    </row>
    <row r="598" spans="1:23" x14ac:dyDescent="0.35">
      <c r="A598" s="6"/>
      <c r="B598" s="6"/>
      <c r="C598" s="6"/>
      <c r="D598" s="6"/>
      <c r="E598" s="6"/>
      <c r="F598" s="6"/>
      <c r="G598" s="6"/>
      <c r="H598" s="6"/>
      <c r="I598" s="6"/>
      <c r="J598" s="6"/>
      <c r="K598" s="6"/>
      <c r="L598" s="6"/>
      <c r="M598" s="6"/>
      <c r="N598" s="6"/>
      <c r="O598" s="6"/>
      <c r="P598" s="6"/>
      <c r="Q598" s="6"/>
      <c r="R598" s="6"/>
      <c r="S598" s="6"/>
      <c r="T598" s="6"/>
      <c r="U598" s="6"/>
      <c r="V598" s="6"/>
      <c r="W598" s="6"/>
    </row>
    <row r="599" spans="1:23" x14ac:dyDescent="0.35">
      <c r="A599" s="6"/>
      <c r="B599" s="6"/>
      <c r="C599" s="6"/>
      <c r="D599" s="6"/>
      <c r="E599" s="6"/>
      <c r="F599" s="6"/>
      <c r="G599" s="6"/>
      <c r="H599" s="6"/>
      <c r="I599" s="6"/>
      <c r="J599" s="6"/>
      <c r="K599" s="6"/>
      <c r="L599" s="6"/>
      <c r="M599" s="6"/>
      <c r="N599" s="6"/>
      <c r="O599" s="6"/>
      <c r="P599" s="6"/>
      <c r="Q599" s="6"/>
      <c r="R599" s="6"/>
      <c r="S599" s="6"/>
      <c r="T599" s="6"/>
      <c r="U599" s="6"/>
      <c r="V599" s="6"/>
      <c r="W599" s="6"/>
    </row>
    <row r="600" spans="1:23" x14ac:dyDescent="0.35">
      <c r="A600" s="6"/>
      <c r="B600" s="6"/>
      <c r="C600" s="6"/>
      <c r="D600" s="6"/>
      <c r="E600" s="6"/>
      <c r="F600" s="6"/>
      <c r="G600" s="6"/>
      <c r="H600" s="6"/>
      <c r="I600" s="6"/>
      <c r="J600" s="6"/>
      <c r="K600" s="6"/>
      <c r="L600" s="6"/>
      <c r="M600" s="6"/>
      <c r="N600" s="6"/>
      <c r="O600" s="6"/>
      <c r="P600" s="6"/>
      <c r="Q600" s="6"/>
      <c r="R600" s="6"/>
      <c r="S600" s="6"/>
      <c r="T600" s="6"/>
      <c r="U600" s="6"/>
      <c r="V600" s="6"/>
      <c r="W600" s="6"/>
    </row>
    <row r="601" spans="1:23" x14ac:dyDescent="0.35">
      <c r="A601" s="6"/>
      <c r="B601" s="6"/>
      <c r="C601" s="6"/>
      <c r="D601" s="6"/>
      <c r="E601" s="6"/>
      <c r="F601" s="6"/>
      <c r="G601" s="6"/>
      <c r="H601" s="6"/>
      <c r="I601" s="6"/>
      <c r="J601" s="6"/>
      <c r="K601" s="6"/>
      <c r="L601" s="6"/>
      <c r="M601" s="6"/>
      <c r="N601" s="6"/>
      <c r="O601" s="6"/>
      <c r="P601" s="6"/>
      <c r="Q601" s="6"/>
      <c r="R601" s="6"/>
      <c r="S601" s="6"/>
      <c r="T601" s="6"/>
      <c r="U601" s="6"/>
      <c r="V601" s="6"/>
      <c r="W601" s="6"/>
    </row>
    <row r="602" spans="1:23" x14ac:dyDescent="0.35">
      <c r="A602" s="6"/>
      <c r="B602" s="6"/>
      <c r="C602" s="6"/>
      <c r="D602" s="6"/>
      <c r="E602" s="6"/>
      <c r="F602" s="6"/>
      <c r="G602" s="6"/>
      <c r="H602" s="6"/>
      <c r="I602" s="6"/>
      <c r="J602" s="6"/>
      <c r="K602" s="6"/>
      <c r="L602" s="6"/>
      <c r="M602" s="6"/>
      <c r="N602" s="6"/>
      <c r="O602" s="6"/>
      <c r="P602" s="6"/>
      <c r="Q602" s="6"/>
      <c r="R602" s="6"/>
      <c r="S602" s="6"/>
      <c r="T602" s="6"/>
      <c r="U602" s="6"/>
      <c r="V602" s="6"/>
      <c r="W602" s="6"/>
    </row>
    <row r="603" spans="1:23" x14ac:dyDescent="0.35">
      <c r="A603" s="6"/>
      <c r="B603" s="6"/>
      <c r="C603" s="6"/>
      <c r="D603" s="6"/>
      <c r="E603" s="6"/>
      <c r="F603" s="6"/>
      <c r="G603" s="6"/>
      <c r="H603" s="6"/>
      <c r="I603" s="6"/>
      <c r="J603" s="6"/>
      <c r="K603" s="6"/>
      <c r="L603" s="6"/>
      <c r="M603" s="6"/>
      <c r="N603" s="6"/>
      <c r="O603" s="6"/>
      <c r="P603" s="6"/>
      <c r="Q603" s="6"/>
      <c r="R603" s="6"/>
      <c r="S603" s="6"/>
      <c r="T603" s="6"/>
      <c r="U603" s="6"/>
      <c r="V603" s="6"/>
      <c r="W603" s="6"/>
    </row>
    <row r="604" spans="1:23" x14ac:dyDescent="0.35">
      <c r="A604" s="6"/>
      <c r="B604" s="6"/>
      <c r="C604" s="6"/>
      <c r="D604" s="6"/>
      <c r="E604" s="6"/>
      <c r="F604" s="6"/>
      <c r="G604" s="6"/>
      <c r="H604" s="6"/>
      <c r="I604" s="6"/>
      <c r="J604" s="6"/>
      <c r="K604" s="6"/>
      <c r="L604" s="6"/>
      <c r="M604" s="6"/>
      <c r="N604" s="6"/>
      <c r="O604" s="6"/>
      <c r="P604" s="6"/>
      <c r="Q604" s="6"/>
      <c r="R604" s="6"/>
      <c r="S604" s="6"/>
      <c r="T604" s="6"/>
      <c r="U604" s="6"/>
      <c r="V604" s="6"/>
      <c r="W604" s="6"/>
    </row>
    <row r="605" spans="1:23" x14ac:dyDescent="0.35">
      <c r="A605" s="6"/>
      <c r="B605" s="6"/>
      <c r="C605" s="6"/>
      <c r="D605" s="6"/>
      <c r="E605" s="6"/>
      <c r="F605" s="6"/>
      <c r="G605" s="6"/>
      <c r="H605" s="6"/>
      <c r="I605" s="6"/>
      <c r="J605" s="6"/>
      <c r="K605" s="6"/>
      <c r="L605" s="6"/>
      <c r="M605" s="6"/>
      <c r="N605" s="6"/>
      <c r="O605" s="6"/>
      <c r="P605" s="6"/>
      <c r="Q605" s="6"/>
      <c r="R605" s="6"/>
      <c r="S605" s="6"/>
      <c r="T605" s="6"/>
      <c r="U605" s="6"/>
      <c r="V605" s="6"/>
      <c r="W605" s="6"/>
    </row>
    <row r="606" spans="1:23" x14ac:dyDescent="0.35">
      <c r="A606" s="6"/>
      <c r="B606" s="6"/>
      <c r="C606" s="6"/>
      <c r="D606" s="6"/>
      <c r="E606" s="6"/>
      <c r="F606" s="6"/>
      <c r="G606" s="6"/>
      <c r="H606" s="6"/>
      <c r="I606" s="6"/>
      <c r="J606" s="6"/>
      <c r="K606" s="6"/>
      <c r="L606" s="6"/>
      <c r="M606" s="6"/>
      <c r="N606" s="6"/>
      <c r="O606" s="6"/>
      <c r="P606" s="6"/>
      <c r="Q606" s="6"/>
      <c r="R606" s="6"/>
      <c r="S606" s="6"/>
      <c r="T606" s="6"/>
      <c r="U606" s="6"/>
      <c r="V606" s="6"/>
      <c r="W606" s="6"/>
    </row>
    <row r="607" spans="1:23" x14ac:dyDescent="0.35">
      <c r="A607" s="6"/>
      <c r="B607" s="6"/>
      <c r="C607" s="6"/>
      <c r="D607" s="6"/>
      <c r="E607" s="6"/>
      <c r="F607" s="6"/>
      <c r="G607" s="6"/>
      <c r="H607" s="6"/>
      <c r="I607" s="6"/>
      <c r="J607" s="6"/>
      <c r="K607" s="6"/>
      <c r="L607" s="6"/>
      <c r="M607" s="6"/>
      <c r="N607" s="6"/>
      <c r="O607" s="6"/>
      <c r="P607" s="6"/>
      <c r="Q607" s="6"/>
      <c r="R607" s="6"/>
      <c r="S607" s="6"/>
      <c r="T607" s="6"/>
      <c r="U607" s="6"/>
      <c r="V607" s="6"/>
      <c r="W607" s="6"/>
    </row>
    <row r="608" spans="1:23" x14ac:dyDescent="0.35">
      <c r="A608" s="6"/>
      <c r="B608" s="6"/>
      <c r="C608" s="6"/>
      <c r="D608" s="6"/>
      <c r="E608" s="6"/>
      <c r="F608" s="6"/>
      <c r="G608" s="6"/>
      <c r="H608" s="6"/>
      <c r="I608" s="6"/>
      <c r="J608" s="6"/>
      <c r="K608" s="6"/>
      <c r="L608" s="6"/>
      <c r="M608" s="6"/>
      <c r="N608" s="6"/>
      <c r="O608" s="6"/>
      <c r="P608" s="6"/>
      <c r="Q608" s="6"/>
      <c r="R608" s="6"/>
      <c r="S608" s="6"/>
      <c r="T608" s="6"/>
      <c r="U608" s="6"/>
      <c r="V608" s="6"/>
      <c r="W608" s="6"/>
    </row>
    <row r="609" spans="1:23" x14ac:dyDescent="0.35">
      <c r="A609" s="6"/>
      <c r="B609" s="6"/>
      <c r="C609" s="6"/>
      <c r="D609" s="6"/>
      <c r="E609" s="6"/>
      <c r="F609" s="6"/>
      <c r="G609" s="6"/>
      <c r="H609" s="6"/>
      <c r="I609" s="6"/>
      <c r="J609" s="6"/>
      <c r="K609" s="6"/>
      <c r="L609" s="6"/>
      <c r="M609" s="6"/>
      <c r="N609" s="6"/>
      <c r="O609" s="6"/>
      <c r="P609" s="6"/>
      <c r="Q609" s="6"/>
      <c r="R609" s="6"/>
      <c r="S609" s="6"/>
      <c r="T609" s="6"/>
      <c r="U609" s="6"/>
      <c r="V609" s="6"/>
      <c r="W609" s="6"/>
    </row>
    <row r="610" spans="1:23" x14ac:dyDescent="0.35">
      <c r="A610" s="6"/>
      <c r="B610" s="6"/>
      <c r="C610" s="6"/>
      <c r="D610" s="6"/>
      <c r="E610" s="6"/>
      <c r="F610" s="6"/>
      <c r="G610" s="6"/>
      <c r="H610" s="6"/>
      <c r="I610" s="6"/>
      <c r="J610" s="6"/>
      <c r="K610" s="6"/>
      <c r="L610" s="6"/>
      <c r="M610" s="6"/>
      <c r="N610" s="6"/>
      <c r="O610" s="6"/>
      <c r="P610" s="6"/>
      <c r="Q610" s="6"/>
      <c r="R610" s="6"/>
      <c r="S610" s="6"/>
      <c r="T610" s="6"/>
      <c r="U610" s="6"/>
      <c r="V610" s="6"/>
      <c r="W610" s="6"/>
    </row>
    <row r="611" spans="1:23" x14ac:dyDescent="0.35">
      <c r="A611" s="6"/>
      <c r="B611" s="6"/>
      <c r="C611" s="6"/>
      <c r="D611" s="6"/>
      <c r="E611" s="6"/>
      <c r="F611" s="6"/>
      <c r="G611" s="6"/>
      <c r="H611" s="6"/>
      <c r="I611" s="6"/>
      <c r="J611" s="6"/>
      <c r="K611" s="6"/>
      <c r="L611" s="6"/>
      <c r="M611" s="6"/>
      <c r="N611" s="6"/>
      <c r="O611" s="6"/>
      <c r="P611" s="6"/>
      <c r="Q611" s="6"/>
      <c r="R611" s="6"/>
      <c r="S611" s="6"/>
      <c r="T611" s="6"/>
      <c r="U611" s="6"/>
      <c r="V611" s="6"/>
      <c r="W611" s="6"/>
    </row>
    <row r="612" spans="1:23" x14ac:dyDescent="0.35">
      <c r="A612" s="6"/>
      <c r="B612" s="6"/>
      <c r="C612" s="6"/>
      <c r="D612" s="6"/>
      <c r="E612" s="6"/>
      <c r="F612" s="6"/>
      <c r="G612" s="6"/>
      <c r="H612" s="6"/>
      <c r="I612" s="6"/>
      <c r="J612" s="6"/>
      <c r="K612" s="6"/>
      <c r="L612" s="6"/>
      <c r="M612" s="6"/>
      <c r="N612" s="6"/>
      <c r="O612" s="6"/>
      <c r="P612" s="6"/>
      <c r="Q612" s="6"/>
      <c r="R612" s="6"/>
      <c r="S612" s="6"/>
      <c r="T612" s="6"/>
      <c r="U612" s="6"/>
      <c r="V612" s="6"/>
      <c r="W612" s="6"/>
    </row>
    <row r="613" spans="1:23" x14ac:dyDescent="0.35">
      <c r="A613" s="6"/>
      <c r="B613" s="6"/>
      <c r="C613" s="6"/>
      <c r="D613" s="6"/>
      <c r="E613" s="6"/>
      <c r="F613" s="6"/>
      <c r="G613" s="6"/>
      <c r="H613" s="6"/>
      <c r="I613" s="6"/>
      <c r="J613" s="6"/>
      <c r="K613" s="6"/>
      <c r="L613" s="6"/>
      <c r="M613" s="6"/>
      <c r="N613" s="6"/>
      <c r="O613" s="6"/>
      <c r="P613" s="6"/>
      <c r="Q613" s="6"/>
      <c r="R613" s="6"/>
      <c r="S613" s="6"/>
      <c r="T613" s="6"/>
      <c r="U613" s="6"/>
      <c r="V613" s="6"/>
      <c r="W613" s="6"/>
    </row>
    <row r="614" spans="1:23" x14ac:dyDescent="0.35">
      <c r="A614" s="6"/>
      <c r="B614" s="6"/>
      <c r="C614" s="6"/>
      <c r="D614" s="6"/>
      <c r="E614" s="6"/>
      <c r="F614" s="6"/>
      <c r="G614" s="6"/>
      <c r="H614" s="6"/>
      <c r="I614" s="6"/>
      <c r="J614" s="6"/>
      <c r="K614" s="6"/>
      <c r="L614" s="6"/>
      <c r="M614" s="6"/>
      <c r="N614" s="6"/>
      <c r="O614" s="6"/>
      <c r="P614" s="6"/>
      <c r="Q614" s="6"/>
      <c r="R614" s="6"/>
      <c r="S614" s="6"/>
      <c r="T614" s="6"/>
      <c r="U614" s="6"/>
      <c r="V614" s="6"/>
      <c r="W614" s="6"/>
    </row>
    <row r="615" spans="1:23" x14ac:dyDescent="0.35">
      <c r="A615" s="6"/>
      <c r="B615" s="6"/>
      <c r="C615" s="6"/>
      <c r="D615" s="6"/>
      <c r="E615" s="6"/>
      <c r="F615" s="6"/>
      <c r="G615" s="6"/>
      <c r="H615" s="6"/>
      <c r="I615" s="6"/>
      <c r="J615" s="6"/>
      <c r="K615" s="6"/>
      <c r="L615" s="6"/>
      <c r="M615" s="6"/>
      <c r="N615" s="6"/>
      <c r="O615" s="6"/>
      <c r="P615" s="6"/>
      <c r="Q615" s="6"/>
      <c r="R615" s="6"/>
      <c r="S615" s="6"/>
      <c r="T615" s="6"/>
      <c r="U615" s="6"/>
      <c r="V615" s="6"/>
      <c r="W615" s="6"/>
    </row>
    <row r="616" spans="1:23" x14ac:dyDescent="0.35">
      <c r="A616" s="6"/>
      <c r="B616" s="6"/>
      <c r="C616" s="6"/>
      <c r="D616" s="6"/>
      <c r="E616" s="6"/>
      <c r="F616" s="6"/>
      <c r="G616" s="6"/>
      <c r="H616" s="6"/>
      <c r="I616" s="6"/>
      <c r="J616" s="6"/>
      <c r="K616" s="6"/>
      <c r="L616" s="6"/>
      <c r="M616" s="6"/>
      <c r="N616" s="6"/>
      <c r="O616" s="6"/>
      <c r="P616" s="6"/>
      <c r="Q616" s="6"/>
      <c r="R616" s="6"/>
      <c r="S616" s="6"/>
      <c r="T616" s="6"/>
      <c r="U616" s="6"/>
      <c r="V616" s="6"/>
      <c r="W616" s="6"/>
    </row>
  </sheetData>
  <hyperlinks>
    <hyperlink ref="A2" location="CHARTS!A38" display="1)" xr:uid="{00000000-0004-0000-0400-000000000000}"/>
    <hyperlink ref="A3" location="Charts!A86" display="2)" xr:uid="{00000000-0004-0000-0400-000001000000}"/>
    <hyperlink ref="A4" location="Charts!A126" display="3)" xr:uid="{00000000-0004-0000-0400-000002000000}"/>
    <hyperlink ref="A5" location="Charts!A185" display="4)" xr:uid="{00000000-0004-0000-0400-000003000000}"/>
    <hyperlink ref="A6" location="Charts!A284" display="5)" xr:uid="{00000000-0004-0000-0400-000004000000}"/>
  </hyperlinks>
  <pageMargins left="0.7" right="0.7" top="0.75" bottom="0.75" header="0.3" footer="0.3"/>
  <pageSetup paperSize="9" scale="41" orientation="portrait" r:id="rId1"/>
  <rowBreaks count="3" manualBreakCount="3">
    <brk id="101" max="20" man="1"/>
    <brk id="175" max="20" man="1"/>
    <brk id="246" max="20"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Dates!$A$2:$A$113</xm:f>
          </x14:formula1>
          <xm:sqref>G3</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8F6EA-0BE6-42C6-8A6F-BC2031EC6CFC}">
  <dimension ref="A2:AN76"/>
  <sheetViews>
    <sheetView zoomScale="85" zoomScaleNormal="85" workbookViewId="0">
      <pane xSplit="3" ySplit="4" topLeftCell="I16" activePane="bottomRight" state="frozen"/>
      <selection pane="topRight" activeCell="D1" sqref="D1"/>
      <selection pane="bottomLeft" activeCell="A5" sqref="A5"/>
      <selection pane="bottomRight" activeCell="L35" sqref="L35"/>
    </sheetView>
  </sheetViews>
  <sheetFormatPr defaultColWidth="8.77734375" defaultRowHeight="14.4" x14ac:dyDescent="0.3"/>
  <cols>
    <col min="1" max="1" width="1.77734375" style="274" bestFit="1" customWidth="1"/>
    <col min="2" max="2" width="19.77734375" style="274" bestFit="1" customWidth="1"/>
    <col min="3" max="3" width="10.77734375" style="274" bestFit="1" customWidth="1"/>
    <col min="4" max="8" width="9.88671875" style="274" bestFit="1" customWidth="1"/>
    <col min="9" max="30" width="8.77734375" style="274"/>
    <col min="31" max="31" width="10.44140625" style="274" bestFit="1" customWidth="1"/>
    <col min="32" max="32" width="10.6640625" style="274" bestFit="1" customWidth="1"/>
    <col min="33" max="16384" width="8.77734375" style="274"/>
  </cols>
  <sheetData>
    <row r="2" spans="1:40" x14ac:dyDescent="0.3">
      <c r="B2" s="282" t="s">
        <v>412</v>
      </c>
      <c r="C2" s="315">
        <v>45657</v>
      </c>
      <c r="AD2" s="282">
        <v>2025</v>
      </c>
      <c r="AE2" s="282">
        <v>2025</v>
      </c>
      <c r="AG2" s="282">
        <v>2025</v>
      </c>
    </row>
    <row r="3" spans="1:40" ht="15" x14ac:dyDescent="0.35">
      <c r="B3" s="275" t="s">
        <v>379</v>
      </c>
      <c r="C3" s="275"/>
      <c r="D3" s="276" t="str">
        <f>'Profit and Loss Highlights'!AM$1</f>
        <v>1Q21</v>
      </c>
      <c r="E3" s="276" t="str">
        <f>'Profit and Loss Highlights'!AN$1</f>
        <v>2Q21</v>
      </c>
      <c r="F3" s="276" t="str">
        <f>'Profit and Loss Highlights'!AO$1</f>
        <v>3Q21</v>
      </c>
      <c r="G3" s="276" t="str">
        <f>'Profit and Loss Highlights'!AP$1</f>
        <v>4Q21</v>
      </c>
      <c r="H3" s="276" t="str">
        <f>'Profit and Loss Highlights'!AQ$1</f>
        <v>1Q22</v>
      </c>
      <c r="I3" s="276" t="str">
        <f>'Profit and Loss Highlights'!AR$1</f>
        <v>2Q22</v>
      </c>
      <c r="J3" s="276" t="str">
        <f>'Profit and Loss Highlights'!AS$1</f>
        <v>3Q22</v>
      </c>
      <c r="K3" s="276" t="str">
        <f>'Profit and Loss Highlights'!AT$1</f>
        <v>4Q22</v>
      </c>
      <c r="L3" s="276" t="str">
        <f>'Profit and Loss Highlights'!AU$1</f>
        <v>1Q23</v>
      </c>
      <c r="M3" s="276" t="str">
        <f>'Profit and Loss Highlights'!AV$1</f>
        <v>2Q23</v>
      </c>
      <c r="N3" s="276" t="str">
        <f>'Profit and Loss Highlights'!AW$1</f>
        <v>3Q23</v>
      </c>
      <c r="O3" s="276" t="str">
        <f>'Profit and Loss Highlights'!AX$1</f>
        <v>4Q23</v>
      </c>
      <c r="P3" s="276" t="str">
        <f>'Profit and Loss Highlights'!AY$1</f>
        <v>1Q24</v>
      </c>
      <c r="Q3" s="276" t="str">
        <f>'Profit and Loss Highlights'!AZ$1</f>
        <v>2Q24</v>
      </c>
      <c r="R3" s="276" t="str">
        <f>'Profit and Loss Highlights'!BA$1</f>
        <v>3Q24</v>
      </c>
      <c r="S3" s="276" t="str">
        <f>'Profit and Loss Highlights'!BB$1</f>
        <v>4Q24</v>
      </c>
      <c r="V3" s="282" t="s">
        <v>402</v>
      </c>
      <c r="W3" s="282"/>
      <c r="Z3" s="276">
        <v>2022</v>
      </c>
      <c r="AA3" s="276">
        <f>Z3+1</f>
        <v>2023</v>
      </c>
      <c r="AB3" s="276">
        <f>AA3+1</f>
        <v>2024</v>
      </c>
      <c r="AC3" s="276"/>
      <c r="AD3" s="276" t="s">
        <v>414</v>
      </c>
      <c r="AE3" s="276" t="s">
        <v>402</v>
      </c>
      <c r="AG3" s="282" t="s">
        <v>404</v>
      </c>
      <c r="AH3" s="282"/>
      <c r="AI3" s="276" t="s">
        <v>416</v>
      </c>
      <c r="AJ3" s="276" t="s">
        <v>417</v>
      </c>
      <c r="AK3" s="276"/>
    </row>
    <row r="4" spans="1:40" ht="15" x14ac:dyDescent="0.35">
      <c r="A4" s="274" t="s">
        <v>380</v>
      </c>
      <c r="B4" s="275" t="s">
        <v>381</v>
      </c>
      <c r="C4" s="275"/>
      <c r="D4" s="296">
        <v>44286</v>
      </c>
      <c r="E4" s="296">
        <f>EOMONTH(D4,3)</f>
        <v>44377</v>
      </c>
      <c r="F4" s="296">
        <f t="shared" ref="F4:I4" si="0">EOMONTH(E4,3)</f>
        <v>44469</v>
      </c>
      <c r="G4" s="296">
        <f t="shared" si="0"/>
        <v>44561</v>
      </c>
      <c r="H4" s="296">
        <f t="shared" si="0"/>
        <v>44651</v>
      </c>
      <c r="I4" s="296">
        <f t="shared" si="0"/>
        <v>44742</v>
      </c>
      <c r="J4" s="296">
        <f t="shared" ref="J4:S4" si="1">EOMONTH(I4,3)</f>
        <v>44834</v>
      </c>
      <c r="K4" s="296">
        <f t="shared" si="1"/>
        <v>44926</v>
      </c>
      <c r="L4" s="296">
        <f t="shared" si="1"/>
        <v>45016</v>
      </c>
      <c r="M4" s="296">
        <f t="shared" si="1"/>
        <v>45107</v>
      </c>
      <c r="N4" s="296">
        <f t="shared" si="1"/>
        <v>45199</v>
      </c>
      <c r="O4" s="296">
        <f t="shared" si="1"/>
        <v>45291</v>
      </c>
      <c r="P4" s="296">
        <f t="shared" si="1"/>
        <v>45382</v>
      </c>
      <c r="Q4" s="296">
        <f t="shared" si="1"/>
        <v>45473</v>
      </c>
      <c r="R4" s="296">
        <f t="shared" si="1"/>
        <v>45565</v>
      </c>
      <c r="S4" s="296">
        <f t="shared" si="1"/>
        <v>45657</v>
      </c>
      <c r="X4" s="296">
        <v>44196</v>
      </c>
      <c r="Y4" s="296">
        <v>44561</v>
      </c>
      <c r="Z4" s="296">
        <v>44926</v>
      </c>
      <c r="AA4" s="296">
        <f>EOMONTH(Z4,12)</f>
        <v>45291</v>
      </c>
      <c r="AB4" s="296">
        <f>EOMONTH(AA4,12)</f>
        <v>45657</v>
      </c>
      <c r="AC4" s="296"/>
      <c r="AD4" s="296"/>
      <c r="AE4" s="296"/>
      <c r="AI4" s="296">
        <f>EOMONTH(AJ4,-12)</f>
        <v>45291</v>
      </c>
      <c r="AJ4" s="296">
        <f>$C$2</f>
        <v>45657</v>
      </c>
      <c r="AK4" s="296" t="s">
        <v>392</v>
      </c>
      <c r="AM4" s="282"/>
    </row>
    <row r="5" spans="1:40" s="277" customFormat="1" x14ac:dyDescent="0.3">
      <c r="B5" s="278" t="s">
        <v>382</v>
      </c>
      <c r="C5" s="278"/>
      <c r="D5" s="279"/>
      <c r="E5" s="279"/>
      <c r="F5" s="279"/>
      <c r="G5" s="279"/>
      <c r="H5" s="279"/>
      <c r="I5" s="279"/>
      <c r="J5" s="279"/>
      <c r="K5" s="279"/>
      <c r="L5" s="279"/>
      <c r="M5" s="279"/>
      <c r="N5" s="279"/>
      <c r="O5" s="279"/>
      <c r="P5" s="279"/>
      <c r="Q5" s="279"/>
      <c r="R5" s="279"/>
      <c r="S5" s="279"/>
    </row>
    <row r="6" spans="1:40" s="281" customFormat="1" ht="15" x14ac:dyDescent="0.35">
      <c r="A6" s="277"/>
      <c r="B6" s="274" t="s">
        <v>145</v>
      </c>
      <c r="C6" s="274"/>
      <c r="D6" s="280">
        <f>'Profit and Loss Highlights'!AM19</f>
        <v>748</v>
      </c>
      <c r="E6" s="280">
        <f>'Profit and Loss Highlights'!AN19</f>
        <v>766</v>
      </c>
      <c r="F6" s="280">
        <f>'Profit and Loss Highlights'!AO19</f>
        <v>783</v>
      </c>
      <c r="G6" s="280">
        <f>'Profit and Loss Highlights'!AP19</f>
        <v>766</v>
      </c>
      <c r="H6" s="280">
        <f>'Profit and Loss Highlights'!AQ19</f>
        <v>785</v>
      </c>
      <c r="I6" s="280">
        <f>'Profit and Loss Highlights'!AR19</f>
        <v>810</v>
      </c>
      <c r="J6" s="280">
        <f>'Profit and Loss Highlights'!AS19</f>
        <v>830</v>
      </c>
      <c r="K6" s="280">
        <f>'Profit and Loss Highlights'!AT19</f>
        <v>850</v>
      </c>
      <c r="L6" s="280">
        <f>'Profit and Loss Highlights'!AU19</f>
        <v>864</v>
      </c>
      <c r="M6" s="280">
        <f>'Profit and Loss Highlights'!AV19</f>
        <v>871</v>
      </c>
      <c r="N6" s="280">
        <f>'Profit and Loss Highlights'!AW19</f>
        <v>882</v>
      </c>
      <c r="O6" s="280">
        <f>'Profit and Loss Highlights'!AX19</f>
        <v>903</v>
      </c>
      <c r="P6" s="280">
        <f>'Profit and Loss Highlights'!AY19</f>
        <v>911</v>
      </c>
      <c r="Q6" s="280">
        <f>'Profit and Loss Highlights'!AZ19</f>
        <v>916</v>
      </c>
      <c r="R6" s="280">
        <f>'Profit and Loss Highlights'!BA19</f>
        <v>925</v>
      </c>
      <c r="S6" s="280">
        <f>'Profit and Loss Highlights'!BB19</f>
        <v>948</v>
      </c>
      <c r="Y6" s="281">
        <f>SUMIFS($D6:$T6,$D$4:$T$4,"&gt;"&amp;X$4,$D$4:$T$4,"&lt;="&amp;Y$4)</f>
        <v>3063</v>
      </c>
      <c r="Z6" s="281">
        <f>SUMIFS($D6:$T6,$D$4:$T$4,"&gt;"&amp;Y$4,$D$4:$T$4,"&lt;="&amp;Z$4)</f>
        <v>3275</v>
      </c>
      <c r="AA6" s="281">
        <f>SUMIFS($D6:$T6,$D$4:$T$4,"&gt;"&amp;Z$4,$D$4:$T$4,"&lt;="&amp;AA$4)</f>
        <v>3520</v>
      </c>
      <c r="AB6" s="281">
        <f>SUMIFS($D6:$T6,$D$4:$T$4,"&gt;"&amp;AA$4,$D$4:$T$4,"&lt;="&amp;AB$4)</f>
        <v>3700</v>
      </c>
      <c r="AI6" s="281">
        <f>SUMIFS($D6:$T6,$D$4:$T$4,"&gt;"&amp;DATE(YEAR(AI$4)-1,12,31),$D$4:$T$4,"&lt;="&amp;AI$4)</f>
        <v>3520</v>
      </c>
      <c r="AJ6" s="281">
        <f>SUMIFS($D6:$T6,$D$4:$T$4,"&gt;"&amp;DATE(YEAR(AJ$4)-1,12,31),$D$4:$T$4,"&lt;="&amp;AJ$4)</f>
        <v>3700</v>
      </c>
      <c r="AK6" s="297">
        <f>IFERROR(AJ6/AI6-1,"")</f>
        <v>5.1136363636363535E-2</v>
      </c>
    </row>
    <row r="7" spans="1:40" s="281" customFormat="1" ht="15" x14ac:dyDescent="0.35">
      <c r="A7" s="277"/>
      <c r="B7" s="274" t="s">
        <v>144</v>
      </c>
      <c r="C7" s="274"/>
      <c r="D7" s="280">
        <f>'Profit and Loss Highlights'!AM20</f>
        <v>690</v>
      </c>
      <c r="E7" s="280">
        <f>'Profit and Loss Highlights'!AN20</f>
        <v>685</v>
      </c>
      <c r="F7" s="280">
        <f>'Profit and Loss Highlights'!AO20</f>
        <v>685</v>
      </c>
      <c r="G7" s="280">
        <f>'Profit and Loss Highlights'!AP20</f>
        <v>655</v>
      </c>
      <c r="H7" s="280">
        <f>'Profit and Loss Highlights'!AQ20</f>
        <v>657</v>
      </c>
      <c r="I7" s="280">
        <f>'Profit and Loss Highlights'!AR20</f>
        <v>679</v>
      </c>
      <c r="J7" s="280">
        <f>'Profit and Loss Highlights'!AS20</f>
        <v>676</v>
      </c>
      <c r="K7" s="280">
        <f>'Profit and Loss Highlights'!AT20</f>
        <v>681</v>
      </c>
      <c r="L7" s="280">
        <f>'Profit and Loss Highlights'!AU20</f>
        <v>661</v>
      </c>
      <c r="M7" s="280">
        <f>'Profit and Loss Highlights'!AV20</f>
        <v>651</v>
      </c>
      <c r="N7" s="280">
        <f>'Profit and Loss Highlights'!AW20</f>
        <v>652</v>
      </c>
      <c r="O7" s="280">
        <f>'Profit and Loss Highlights'!AX20</f>
        <v>655</v>
      </c>
      <c r="P7" s="280">
        <f>'Profit and Loss Highlights'!AY20</f>
        <v>649</v>
      </c>
      <c r="Q7" s="280">
        <f>'Profit and Loss Highlights'!AZ20</f>
        <v>648</v>
      </c>
      <c r="R7" s="280">
        <f>'Profit and Loss Highlights'!BA20</f>
        <v>641</v>
      </c>
      <c r="S7" s="280">
        <f>'Profit and Loss Highlights'!BB20</f>
        <v>627</v>
      </c>
      <c r="Y7" s="281">
        <f>SUMIFS($D7:$T7,$D$4:$T$4,"&gt;"&amp;X$4,$D$4:$T$4,"&lt;="&amp;Y$4)</f>
        <v>2715</v>
      </c>
      <c r="Z7" s="281">
        <f>SUMIFS($D7:$T7,$D$4:$T$4,"&gt;"&amp;Y$4,$D$4:$T$4,"&lt;="&amp;Z$4)</f>
        <v>2693</v>
      </c>
      <c r="AA7" s="281">
        <f>SUMIFS($D7:$T7,$D$4:$T$4,"&gt;"&amp;Z$4,$D$4:$T$4,"&lt;="&amp;AA$4)</f>
        <v>2619</v>
      </c>
      <c r="AB7" s="281">
        <f>SUMIFS($D7:$T7,$D$4:$T$4,"&gt;"&amp;AA$4,$D$4:$T$4,"&lt;="&amp;AB$4)</f>
        <v>2565</v>
      </c>
      <c r="AI7" s="281">
        <f>SUMIFS($D7:$T7,$D$4:$T$4,"&gt;"&amp;DATE(YEAR(AI$4)-1,12,31),$D$4:$T$4,"&lt;="&amp;AI$4)</f>
        <v>2619</v>
      </c>
      <c r="AJ7" s="281">
        <f>SUMIFS($D7:$T7,$D$4:$T$4,"&gt;"&amp;DATE(YEAR(AJ$4)-1,12,31),$D$4:$T$4,"&lt;="&amp;AJ$4)</f>
        <v>2565</v>
      </c>
      <c r="AK7" s="297">
        <f t="shared" ref="AK7:AK11" si="2">IFERROR(AJ7/AI7-1,"")</f>
        <v>-2.0618556701030966E-2</v>
      </c>
    </row>
    <row r="8" spans="1:40" s="292" customFormat="1" ht="15" x14ac:dyDescent="0.35">
      <c r="A8" s="282"/>
      <c r="B8" s="282" t="s">
        <v>383</v>
      </c>
      <c r="C8" s="282"/>
      <c r="D8" s="301">
        <f>D6+D7</f>
        <v>1438</v>
      </c>
      <c r="E8" s="301">
        <f t="shared" ref="E8:O8" si="3">E6+E7</f>
        <v>1451</v>
      </c>
      <c r="F8" s="301">
        <f t="shared" si="3"/>
        <v>1468</v>
      </c>
      <c r="G8" s="301">
        <f t="shared" si="3"/>
        <v>1421</v>
      </c>
      <c r="H8" s="301">
        <f t="shared" si="3"/>
        <v>1442</v>
      </c>
      <c r="I8" s="301">
        <f t="shared" si="3"/>
        <v>1489</v>
      </c>
      <c r="J8" s="301">
        <f t="shared" si="3"/>
        <v>1506</v>
      </c>
      <c r="K8" s="301">
        <f t="shared" si="3"/>
        <v>1531</v>
      </c>
      <c r="L8" s="301">
        <f t="shared" si="3"/>
        <v>1525</v>
      </c>
      <c r="M8" s="301">
        <f t="shared" si="3"/>
        <v>1522</v>
      </c>
      <c r="N8" s="301">
        <f t="shared" si="3"/>
        <v>1534</v>
      </c>
      <c r="O8" s="301">
        <f t="shared" si="3"/>
        <v>1558</v>
      </c>
      <c r="P8" s="301">
        <f t="shared" ref="P8:Q8" si="4">P6+P7</f>
        <v>1560</v>
      </c>
      <c r="Q8" s="301">
        <f t="shared" si="4"/>
        <v>1564</v>
      </c>
      <c r="R8" s="301">
        <f t="shared" ref="R8:S8" si="5">R6+R7</f>
        <v>1566</v>
      </c>
      <c r="S8" s="301">
        <f t="shared" si="5"/>
        <v>1575</v>
      </c>
      <c r="Y8" s="298">
        <f>SUMIFS($D8:$T8,$D$4:$T$4,"&gt;"&amp;X$4,$D$4:$T$4,"&lt;="&amp;Y$4)</f>
        <v>5778</v>
      </c>
      <c r="Z8" s="298">
        <f>SUMIFS($D8:$T8,$D$4:$T$4,"&gt;"&amp;Y$4,$D$4:$T$4,"&lt;="&amp;Z$4)</f>
        <v>5968</v>
      </c>
      <c r="AA8" s="298">
        <f>SUMIFS($D8:$T8,$D$4:$T$4,"&gt;"&amp;Z$4,$D$4:$T$4,"&lt;="&amp;AA$4)</f>
        <v>6139</v>
      </c>
      <c r="AB8" s="298">
        <f>SUMIFS($D8:$T8,$D$4:$T$4,"&gt;"&amp;AA$4,$D$4:$T$4,"&lt;="&amp;AB$4)</f>
        <v>6265</v>
      </c>
      <c r="AC8" s="298"/>
      <c r="AD8" s="298"/>
      <c r="AI8" s="281">
        <f>SUMIFS($D8:$T8,$D$4:$T$4,"&gt;"&amp;DATE(YEAR(AI$4)-1,12,31),$D$4:$T$4,"&lt;="&amp;AI$4)</f>
        <v>6139</v>
      </c>
      <c r="AJ8" s="281">
        <f>SUMIFS($D8:$T8,$D$4:$T$4,"&gt;"&amp;DATE(YEAR(AJ$4)-1,12,31),$D$4:$T$4,"&lt;="&amp;AJ$4)</f>
        <v>6265</v>
      </c>
      <c r="AK8" s="297">
        <f t="shared" si="2"/>
        <v>2.0524515393386622E-2</v>
      </c>
    </row>
    <row r="9" spans="1:40" s="283" customFormat="1" x14ac:dyDescent="0.3">
      <c r="A9" s="274"/>
      <c r="B9" s="274" t="s">
        <v>349</v>
      </c>
      <c r="C9" s="274"/>
      <c r="D9" s="283">
        <f>'Profit and Loss Highlights'!AM21</f>
        <v>165</v>
      </c>
      <c r="E9" s="283">
        <f>'Profit and Loss Highlights'!AN21</f>
        <v>175</v>
      </c>
      <c r="F9" s="283">
        <f>'Profit and Loss Highlights'!AO21</f>
        <v>185</v>
      </c>
      <c r="G9" s="283">
        <f>'Profit and Loss Highlights'!AP21</f>
        <v>196</v>
      </c>
      <c r="H9" s="283">
        <f>'Profit and Loss Highlights'!AQ21</f>
        <v>200</v>
      </c>
      <c r="I9" s="283">
        <f>'Profit and Loss Highlights'!AR21</f>
        <v>209</v>
      </c>
      <c r="J9" s="283">
        <f>'Profit and Loss Highlights'!AS21</f>
        <v>215</v>
      </c>
      <c r="K9" s="283">
        <f>'Profit and Loss Highlights'!AT21</f>
        <v>219</v>
      </c>
      <c r="L9" s="283">
        <f>'Profit and Loss Highlights'!AU21</f>
        <v>222</v>
      </c>
      <c r="M9" s="283">
        <f>'Profit and Loss Highlights'!AV21</f>
        <v>229</v>
      </c>
      <c r="N9" s="283">
        <f>'Profit and Loss Highlights'!AW21</f>
        <v>231</v>
      </c>
      <c r="O9" s="283">
        <f>'Profit and Loss Highlights'!AX21</f>
        <v>243</v>
      </c>
      <c r="P9" s="283">
        <f>'Profit and Loss Highlights'!AY21</f>
        <v>244</v>
      </c>
      <c r="Q9" s="283">
        <f>'Profit and Loss Highlights'!AZ21</f>
        <v>251</v>
      </c>
      <c r="R9" s="283">
        <f>'Profit and Loss Highlights'!BA21</f>
        <v>251</v>
      </c>
      <c r="S9" s="283">
        <f>'Profit and Loss Highlights'!BB21</f>
        <v>247</v>
      </c>
      <c r="Y9" s="281">
        <f>SUMIFS($D9:$T9,$D$4:$T$4,"&gt;"&amp;X$4,$D$4:$T$4,"&lt;="&amp;Y$4)</f>
        <v>721</v>
      </c>
      <c r="Z9" s="281">
        <f>SUMIFS($D9:$T9,$D$4:$T$4,"&gt;"&amp;Y$4,$D$4:$T$4,"&lt;="&amp;Z$4)</f>
        <v>843</v>
      </c>
      <c r="AA9" s="281">
        <f>SUMIFS($D9:$T9,$D$4:$T$4,"&gt;"&amp;Z$4,$D$4:$T$4,"&lt;="&amp;AA$4)</f>
        <v>925</v>
      </c>
      <c r="AB9" s="281">
        <f>SUMIFS($D9:$T9,$D$4:$T$4,"&gt;"&amp;AA$4,$D$4:$T$4,"&lt;="&amp;AB$4)</f>
        <v>993</v>
      </c>
      <c r="AC9" s="281"/>
      <c r="AD9" s="281"/>
      <c r="AI9" s="281">
        <f>SUMIFS($D9:$T9,$D$4:$T$4,"&gt;"&amp;DATE(YEAR(AI$4)-1,12,31),$D$4:$T$4,"&lt;="&amp;AI$4)</f>
        <v>925</v>
      </c>
      <c r="AJ9" s="281">
        <f>SUMIFS($D9:$T9,$D$4:$T$4,"&gt;"&amp;DATE(YEAR(AJ$4)-1,12,31),$D$4:$T$4,"&lt;="&amp;AJ$4)</f>
        <v>993</v>
      </c>
      <c r="AK9" s="297">
        <f t="shared" si="2"/>
        <v>7.3513513513513429E-2</v>
      </c>
    </row>
    <row r="10" spans="1:40" s="283" customFormat="1" x14ac:dyDescent="0.3">
      <c r="A10" s="274"/>
      <c r="B10" s="274" t="s">
        <v>384</v>
      </c>
      <c r="C10" s="274"/>
      <c r="D10" s="283">
        <f>'Profit and Loss Highlights'!AM28</f>
        <v>368</v>
      </c>
      <c r="E10" s="283">
        <f>'Profit and Loss Highlights'!AN28</f>
        <v>371</v>
      </c>
      <c r="F10" s="283">
        <f>'Profit and Loss Highlights'!AO28</f>
        <v>380</v>
      </c>
      <c r="G10" s="283">
        <f>'Profit and Loss Highlights'!AP28</f>
        <v>399</v>
      </c>
      <c r="H10" s="283">
        <f>'Profit and Loss Highlights'!AQ28</f>
        <v>388</v>
      </c>
      <c r="I10" s="283">
        <f>'Profit and Loss Highlights'!AR28</f>
        <v>386</v>
      </c>
      <c r="J10" s="283">
        <f>'Profit and Loss Highlights'!AS28</f>
        <v>387</v>
      </c>
      <c r="K10" s="283">
        <f>'Profit and Loss Highlights'!AT28</f>
        <v>364</v>
      </c>
      <c r="L10" s="283">
        <f>'Profit and Loss Highlights'!AU28</f>
        <v>365</v>
      </c>
      <c r="M10" s="283">
        <f>'Profit and Loss Highlights'!AV28</f>
        <v>362</v>
      </c>
      <c r="N10" s="283">
        <f>'Profit and Loss Highlights'!AW28</f>
        <v>380</v>
      </c>
      <c r="O10" s="283">
        <f>'Profit and Loss Highlights'!AX28</f>
        <v>401</v>
      </c>
      <c r="P10" s="283">
        <f>'Profit and Loss Highlights'!AY28</f>
        <v>387</v>
      </c>
      <c r="Q10" s="283">
        <f>'Profit and Loss Highlights'!AZ28</f>
        <v>401</v>
      </c>
      <c r="R10" s="283">
        <f>'Profit and Loss Highlights'!BA28</f>
        <v>396</v>
      </c>
      <c r="S10" s="283">
        <f>'Profit and Loss Highlights'!BB28</f>
        <v>426</v>
      </c>
      <c r="Y10" s="281">
        <f>SUMIFS($D10:$T10,$D$4:$T$4,"&gt;"&amp;X$4,$D$4:$T$4,"&lt;="&amp;Y$4)</f>
        <v>1518</v>
      </c>
      <c r="Z10" s="281">
        <f>SUMIFS($D10:$T10,$D$4:$T$4,"&gt;"&amp;Y$4,$D$4:$T$4,"&lt;="&amp;Z$4)</f>
        <v>1525</v>
      </c>
      <c r="AA10" s="281">
        <f>SUMIFS($D10:$T10,$D$4:$T$4,"&gt;"&amp;Z$4,$D$4:$T$4,"&lt;="&amp;AA$4)</f>
        <v>1508</v>
      </c>
      <c r="AB10" s="281">
        <f>SUMIFS($D10:$T10,$D$4:$T$4,"&gt;"&amp;AA$4,$D$4:$T$4,"&lt;="&amp;AB$4)</f>
        <v>1610</v>
      </c>
      <c r="AC10" s="281"/>
      <c r="AD10" s="281"/>
      <c r="AI10" s="281">
        <f>SUMIFS($D10:$T10,$D$4:$T$4,"&gt;"&amp;DATE(YEAR(AI$4)-1,12,31),$D$4:$T$4,"&lt;="&amp;AI$4)</f>
        <v>1508</v>
      </c>
      <c r="AJ10" s="281">
        <f>SUMIFS($D10:$T10,$D$4:$T$4,"&gt;"&amp;DATE(YEAR(AJ$4)-1,12,31),$D$4:$T$4,"&lt;="&amp;AJ$4)</f>
        <v>1610</v>
      </c>
      <c r="AK10" s="297">
        <f t="shared" si="2"/>
        <v>6.7639257294429767E-2</v>
      </c>
    </row>
    <row r="11" spans="1:40" s="292" customFormat="1" x14ac:dyDescent="0.3">
      <c r="A11" s="282"/>
      <c r="B11" s="284" t="s">
        <v>385</v>
      </c>
      <c r="C11" s="284"/>
      <c r="D11" s="285">
        <f>'Profit and Loss Highlights'!AM30</f>
        <v>1971</v>
      </c>
      <c r="E11" s="285">
        <f>'Profit and Loss Highlights'!AN30</f>
        <v>1997</v>
      </c>
      <c r="F11" s="285">
        <f>'Profit and Loss Highlights'!AO30</f>
        <v>2033</v>
      </c>
      <c r="G11" s="285">
        <f>'Profit and Loss Highlights'!AP30</f>
        <v>2016</v>
      </c>
      <c r="H11" s="285">
        <f>'Profit and Loss Highlights'!AQ30</f>
        <v>2030</v>
      </c>
      <c r="I11" s="285">
        <f>'Profit and Loss Highlights'!AR30</f>
        <v>2084</v>
      </c>
      <c r="J11" s="285">
        <f>'Profit and Loss Highlights'!AS30</f>
        <v>2108</v>
      </c>
      <c r="K11" s="285">
        <f>'Profit and Loss Highlights'!AT30</f>
        <v>2114</v>
      </c>
      <c r="L11" s="285">
        <f>'Profit and Loss Highlights'!AU30</f>
        <v>2112</v>
      </c>
      <c r="M11" s="285">
        <f>'Profit and Loss Highlights'!AV30</f>
        <v>2113</v>
      </c>
      <c r="N11" s="285">
        <f>'Profit and Loss Highlights'!AW30</f>
        <v>2145</v>
      </c>
      <c r="O11" s="285">
        <f>'Profit and Loss Highlights'!AX30</f>
        <v>2202</v>
      </c>
      <c r="P11" s="285">
        <f>'Profit and Loss Highlights'!AY30</f>
        <v>2191</v>
      </c>
      <c r="Q11" s="285">
        <f>'Profit and Loss Highlights'!AZ30</f>
        <v>2216</v>
      </c>
      <c r="R11" s="285">
        <f>'Profit and Loss Highlights'!BA30</f>
        <v>2213</v>
      </c>
      <c r="S11" s="285">
        <f>'Profit and Loss Highlights'!BB30</f>
        <v>2248</v>
      </c>
      <c r="V11" s="292">
        <v>2163.9503798136429</v>
      </c>
      <c r="W11" s="290">
        <f>S11/V11-1</f>
        <v>3.884082600525951E-2</v>
      </c>
      <c r="Y11" s="299">
        <f>SUMIFS($D11:$T11,$D$4:$T$4,"&gt;"&amp;X$4,$D$4:$T$4,"&lt;="&amp;Y$4)</f>
        <v>8017</v>
      </c>
      <c r="Z11" s="299">
        <f>SUMIFS($D11:$T11,$D$4:$T$4,"&gt;"&amp;Y$4,$D$4:$T$4,"&lt;="&amp;Z$4)</f>
        <v>8336</v>
      </c>
      <c r="AA11" s="299">
        <f>SUMIFS($D11:$T11,$D$4:$T$4,"&gt;"&amp;Z$4,$D$4:$T$4,"&lt;="&amp;AA$4)</f>
        <v>8572</v>
      </c>
      <c r="AB11" s="299">
        <f>SUMIFS($D11:$T11,$D$4:$T$4,"&gt;"&amp;AA$4,$D$4:$T$4,"&lt;="&amp;AB$4)</f>
        <v>8868</v>
      </c>
      <c r="AC11" s="321"/>
      <c r="AD11" s="292">
        <f>'[1]Income Statement'!CI13</f>
        <v>9166.2852194545703</v>
      </c>
      <c r="AE11" s="292">
        <f>'[1]Income Statement'!CI17</f>
        <v>9032.3534322400774</v>
      </c>
      <c r="AF11" s="290"/>
      <c r="AG11" s="323" t="s">
        <v>415</v>
      </c>
      <c r="AI11" s="299">
        <f>SUMIFS($D11:$T11,$D$4:$T$4,"&gt;"&amp;DATE(YEAR(AI$4)-1,12,31),$D$4:$T$4,"&lt;="&amp;AI$4)</f>
        <v>8572</v>
      </c>
      <c r="AJ11" s="299">
        <f>SUMIFS($D11:$T11,$D$4:$T$4,"&gt;"&amp;DATE(YEAR(AJ$4)-1,12,31),$D$4:$T$4,"&lt;="&amp;AJ$4)</f>
        <v>8868</v>
      </c>
      <c r="AK11" s="319">
        <f t="shared" si="2"/>
        <v>3.4531031264582346E-2</v>
      </c>
    </row>
    <row r="12" spans="1:40" s="292" customFormat="1" x14ac:dyDescent="0.3">
      <c r="A12" s="282"/>
      <c r="B12" s="282" t="s">
        <v>386</v>
      </c>
      <c r="C12" s="282"/>
      <c r="D12" s="292">
        <f>'Profit and Loss Highlights'!AM32</f>
        <v>2240</v>
      </c>
      <c r="E12" s="292">
        <f>'Profit and Loss Highlights'!AN32</f>
        <v>2274</v>
      </c>
      <c r="F12" s="292">
        <f>'Profit and Loss Highlights'!AO32</f>
        <v>2271</v>
      </c>
      <c r="G12" s="292">
        <f>'Profit and Loss Highlights'!AP32</f>
        <v>2456</v>
      </c>
      <c r="H12" s="292">
        <f>'Profit and Loss Highlights'!AQ32</f>
        <v>2406</v>
      </c>
      <c r="I12" s="292">
        <f>'Profit and Loss Highlights'!AR32</f>
        <v>2424</v>
      </c>
      <c r="J12" s="292">
        <f>'Profit and Loss Highlights'!AS32</f>
        <v>2405</v>
      </c>
      <c r="K12" s="292">
        <f>'Profit and Loss Highlights'!AT32</f>
        <v>2554</v>
      </c>
      <c r="L12" s="292">
        <f>'Profit and Loss Highlights'!AU32</f>
        <v>2526</v>
      </c>
      <c r="M12" s="292">
        <f>'Profit and Loss Highlights'!AV32</f>
        <v>2470</v>
      </c>
      <c r="N12" s="292">
        <f>'Profit and Loss Highlights'!AW32</f>
        <v>2442</v>
      </c>
      <c r="O12" s="292">
        <f>'Profit and Loss Highlights'!AX32</f>
        <v>2742</v>
      </c>
      <c r="P12" s="292">
        <f>'Profit and Loss Highlights'!AY32</f>
        <v>2603</v>
      </c>
      <c r="Q12" s="292">
        <f>'Profit and Loss Highlights'!AZ32</f>
        <v>2586</v>
      </c>
      <c r="R12" s="292">
        <f>'Profit and Loss Highlights'!BA32</f>
        <v>2576</v>
      </c>
      <c r="S12" s="292">
        <f>'Profit and Loss Highlights'!BB32</f>
        <v>2771</v>
      </c>
      <c r="V12" s="292">
        <v>2680.8953330439508</v>
      </c>
      <c r="W12" s="290">
        <f t="shared" ref="W12:W14" si="6">S12/V12-1</f>
        <v>3.3609916002853568E-2</v>
      </c>
      <c r="Y12" s="298">
        <f>SUMIFS($D12:$T12,$D$4:$T$4,"&gt;"&amp;X$4,$D$4:$T$4,"&lt;="&amp;Y$4)</f>
        <v>9241</v>
      </c>
      <c r="Z12" s="298">
        <f>SUMIFS($D12:$T12,$D$4:$T$4,"&gt;"&amp;Y$4,$D$4:$T$4,"&lt;="&amp;Z$4)</f>
        <v>9789</v>
      </c>
      <c r="AA12" s="298">
        <f>SUMIFS($D12:$T12,$D$4:$T$4,"&gt;"&amp;Z$4,$D$4:$T$4,"&lt;="&amp;AA$4)</f>
        <v>10180</v>
      </c>
      <c r="AB12" s="298">
        <f>SUMIFS($D12:$T12,$D$4:$T$4,"&gt;"&amp;AA$4,$D$4:$T$4,"&lt;="&amp;AB$4)</f>
        <v>10536</v>
      </c>
      <c r="AC12" s="298"/>
      <c r="AD12" s="298">
        <f>'[1]Income Statement'!CI31</f>
        <v>10904.154172576371</v>
      </c>
      <c r="AE12" s="298">
        <f>'[1]Income Statement'!CI33</f>
        <v>10718.099912506083</v>
      </c>
      <c r="AF12" s="290"/>
      <c r="AG12" s="323"/>
      <c r="AI12" s="298">
        <f>SUMIFS($D12:$T12,$D$4:$T$4,"&gt;"&amp;DATE(YEAR(AI$4)-1,12,31),$D$4:$T$4,"&lt;="&amp;AI$4)</f>
        <v>10180</v>
      </c>
      <c r="AJ12" s="298">
        <f>SUMIFS($D12:$T12,$D$4:$T$4,"&gt;"&amp;DATE(YEAR(AJ$4)-1,12,31),$D$4:$T$4,"&lt;="&amp;AJ$4)</f>
        <v>10536</v>
      </c>
      <c r="AK12" s="300">
        <f t="shared" ref="AK12" si="7">IFERROR(AJ12/AI12-1,"")</f>
        <v>3.4970530451866377E-2</v>
      </c>
    </row>
    <row r="13" spans="1:40" s="292" customFormat="1" x14ac:dyDescent="0.3">
      <c r="A13" s="282"/>
      <c r="B13" s="282" t="s">
        <v>344</v>
      </c>
      <c r="C13" s="282"/>
      <c r="D13" s="292">
        <f>'Profit and Loss Highlights'!AM55</f>
        <v>961</v>
      </c>
      <c r="E13" s="292">
        <f>'Profit and Loss Highlights'!AN55</f>
        <v>1006</v>
      </c>
      <c r="F13" s="292">
        <f>'Profit and Loss Highlights'!AO55</f>
        <v>977</v>
      </c>
      <c r="G13" s="292">
        <f>'Profit and Loss Highlights'!AP55</f>
        <v>932</v>
      </c>
      <c r="H13" s="292">
        <f>'Profit and Loss Highlights'!AQ55</f>
        <v>927</v>
      </c>
      <c r="I13" s="292">
        <f>'Profit and Loss Highlights'!AR55</f>
        <v>1012</v>
      </c>
      <c r="J13" s="292">
        <f>'Profit and Loss Highlights'!AS55</f>
        <v>1004</v>
      </c>
      <c r="K13" s="292">
        <f>'Profit and Loss Highlights'!AT55</f>
        <v>986</v>
      </c>
      <c r="L13" s="292">
        <f>'Profit and Loss Highlights'!AU55</f>
        <v>972</v>
      </c>
      <c r="M13" s="292">
        <f>'Profit and Loss Highlights'!AV55</f>
        <v>1002</v>
      </c>
      <c r="N13" s="292">
        <f>'Profit and Loss Highlights'!AW55</f>
        <v>929</v>
      </c>
      <c r="O13" s="292">
        <f>'Profit and Loss Highlights'!AX55</f>
        <v>1057</v>
      </c>
      <c r="P13" s="292">
        <f>'Profit and Loss Highlights'!AY55</f>
        <v>1044</v>
      </c>
      <c r="Q13" s="292">
        <f>'Profit and Loss Highlights'!AZ55</f>
        <v>1046</v>
      </c>
      <c r="R13" s="292">
        <f>'Profit and Loss Highlights'!BA55</f>
        <v>1048</v>
      </c>
      <c r="S13" s="292">
        <f>'Profit and Loss Highlights'!BB55</f>
        <v>984</v>
      </c>
      <c r="V13" s="292">
        <v>1032.3610573149954</v>
      </c>
      <c r="W13" s="290">
        <f>S13/V13-1</f>
        <v>-4.6845100338029688E-2</v>
      </c>
      <c r="Y13" s="298">
        <f>SUMIFS($D13:$T13,$D$4:$T$4,"&gt;"&amp;X$4,$D$4:$T$4,"&lt;="&amp;Y$4)</f>
        <v>3876</v>
      </c>
      <c r="Z13" s="298">
        <f>SUMIFS($D13:$T13,$D$4:$T$4,"&gt;"&amp;Y$4,$D$4:$T$4,"&lt;="&amp;Z$4)</f>
        <v>3929</v>
      </c>
      <c r="AA13" s="298">
        <f>SUMIFS($D13:$T13,$D$4:$T$4,"&gt;"&amp;Z$4,$D$4:$T$4,"&lt;="&amp;AA$4)</f>
        <v>3960</v>
      </c>
      <c r="AB13" s="298">
        <f>SUMIFS($D13:$T13,$D$4:$T$4,"&gt;"&amp;AA$4,$D$4:$T$4,"&lt;="&amp;AB$4)</f>
        <v>4122</v>
      </c>
      <c r="AC13" s="298"/>
      <c r="AD13" s="298">
        <f>'[1]Income Statement'!CI38</f>
        <v>4296.5338349015092</v>
      </c>
      <c r="AE13" s="298">
        <f>'[1]Income Statement'!CI42</f>
        <v>4230.5605640152962</v>
      </c>
      <c r="AF13" s="290"/>
      <c r="AG13" s="323" t="s">
        <v>429</v>
      </c>
      <c r="AI13" s="298">
        <f>SUMIFS($D13:$T13,$D$4:$T$4,"&gt;"&amp;DATE(YEAR(AI$4)-1,12,31),$D$4:$T$4,"&lt;="&amp;AI$4)</f>
        <v>3960</v>
      </c>
      <c r="AJ13" s="298">
        <f>SUMIFS($D13:$T13,$D$4:$T$4,"&gt;"&amp;DATE(YEAR(AJ$4)-1,12,31),$D$4:$T$4,"&lt;="&amp;AJ$4)</f>
        <v>4122</v>
      </c>
      <c r="AK13" s="300">
        <f t="shared" ref="AK13:AK16" si="8">IFERROR(AJ13/AI13-1,"")</f>
        <v>4.0909090909091006E-2</v>
      </c>
    </row>
    <row r="14" spans="1:40" s="292" customFormat="1" x14ac:dyDescent="0.3">
      <c r="A14" s="282"/>
      <c r="B14" s="282" t="s">
        <v>413</v>
      </c>
      <c r="C14" s="282"/>
      <c r="D14" s="292">
        <f>'Profit and Loss Highlights'!AM76</f>
        <v>334</v>
      </c>
      <c r="E14" s="292">
        <f>'Profit and Loss Highlights'!AN76</f>
        <v>360</v>
      </c>
      <c r="F14" s="292">
        <f>'Profit and Loss Highlights'!AO76</f>
        <v>325</v>
      </c>
      <c r="G14" s="292">
        <f>'Profit and Loss Highlights'!AP76</f>
        <v>289</v>
      </c>
      <c r="H14" s="292">
        <f>'Profit and Loss Highlights'!AQ76</f>
        <v>289</v>
      </c>
      <c r="I14" s="292">
        <f>'Profit and Loss Highlights'!AR76</f>
        <v>322</v>
      </c>
      <c r="J14" s="292">
        <f>'Profit and Loss Highlights'!AS76</f>
        <v>308</v>
      </c>
      <c r="K14" s="292">
        <f>'Profit and Loss Highlights'!AT76</f>
        <v>232</v>
      </c>
      <c r="L14" s="292">
        <f>'Profit and Loss Highlights'!AU76</f>
        <v>320</v>
      </c>
      <c r="M14" s="292">
        <f>'Profit and Loss Highlights'!AV76</f>
        <v>329</v>
      </c>
      <c r="N14" s="292">
        <f>'Profit and Loss Highlights'!AW76</f>
        <v>287</v>
      </c>
      <c r="O14" s="292">
        <f>'Profit and Loss Highlights'!AX76</f>
        <v>56</v>
      </c>
      <c r="P14" s="292">
        <f>'Profit and Loss Highlights'!AY76</f>
        <v>353</v>
      </c>
      <c r="Q14" s="292">
        <f>'Profit and Loss Highlights'!AZ76</f>
        <v>356</v>
      </c>
      <c r="R14" s="292">
        <f>'Profit and Loss Highlights'!BA76</f>
        <v>366</v>
      </c>
      <c r="S14" s="292">
        <f>'Profit and Loss Highlights'!BB76</f>
        <v>321</v>
      </c>
      <c r="V14" s="292">
        <v>321.3822335025659</v>
      </c>
      <c r="W14" s="290">
        <f t="shared" si="6"/>
        <v>-1.1893423553633875E-3</v>
      </c>
      <c r="Y14" s="298">
        <f>SUMIFS($D14:$T14,$D$4:$T$4,"&gt;"&amp;X$4,$D$4:$T$4,"&lt;="&amp;Y$4)</f>
        <v>1308</v>
      </c>
      <c r="Z14" s="298">
        <f>SUMIFS($D14:$T14,$D$4:$T$4,"&gt;"&amp;Y$4,$D$4:$T$4,"&lt;="&amp;Z$4)</f>
        <v>1151</v>
      </c>
      <c r="AA14" s="298">
        <f>SUMIFS($D14:$T14,$D$4:$T$4,"&gt;"&amp;Z$4,$D$4:$T$4,"&lt;="&amp;AA$4)</f>
        <v>992</v>
      </c>
      <c r="AB14" s="298">
        <f>SUMIFS($D14:$T14,$D$4:$T$4,"&gt;"&amp;AA$4,$D$4:$T$4,"&lt;="&amp;AB$4)</f>
        <v>1396</v>
      </c>
      <c r="AC14" s="298"/>
      <c r="AD14" s="298">
        <f>'[1]Income Statement'!CI460</f>
        <v>1606.8390591363232</v>
      </c>
      <c r="AE14" s="298" cm="1">
        <f t="array" ref="AE14">_xll.VAData("MXSC_MY", "FY-2024", "Net income/(loss)", "Consensus", "CD", "IMPL","","")</f>
        <v>1396.3822335025659</v>
      </c>
      <c r="AF14" s="290"/>
      <c r="AI14" s="298">
        <f>SUMIFS($D14:$T14,$D$4:$T$4,"&gt;"&amp;DATE(YEAR(AI$4)-1,12,31),$D$4:$T$4,"&lt;="&amp;AI$4)</f>
        <v>992</v>
      </c>
      <c r="AJ14" s="298">
        <f>SUMIFS($D14:$T14,$D$4:$T$4,"&gt;"&amp;DATE(YEAR(AJ$4)-1,12,31),$D$4:$T$4,"&lt;="&amp;AJ$4)</f>
        <v>1396</v>
      </c>
      <c r="AK14" s="300">
        <f t="shared" ref="AK14" si="9">IFERROR(AJ14/AI14-1,"")</f>
        <v>0.407258064516129</v>
      </c>
      <c r="AN14" s="290"/>
    </row>
    <row r="15" spans="1:40" s="283" customFormat="1" x14ac:dyDescent="0.3">
      <c r="A15" s="274"/>
      <c r="B15" s="274" t="s">
        <v>401</v>
      </c>
      <c r="C15" s="274"/>
      <c r="D15" s="283">
        <f>'Key Balance Sheet &amp; CFlow Items'!AM5</f>
        <v>136</v>
      </c>
      <c r="E15" s="283">
        <f>'Key Balance Sheet &amp; CFlow Items'!AN5</f>
        <v>180</v>
      </c>
      <c r="F15" s="283">
        <f>'Key Balance Sheet &amp; CFlow Items'!AO5</f>
        <v>274</v>
      </c>
      <c r="G15" s="283">
        <f>'Key Balance Sheet &amp; CFlow Items'!AP5</f>
        <v>597</v>
      </c>
      <c r="H15" s="283">
        <f>'Key Balance Sheet &amp; CFlow Items'!AQ5</f>
        <v>171</v>
      </c>
      <c r="I15" s="283">
        <f>'Key Balance Sheet &amp; CFlow Items'!AR5</f>
        <v>241</v>
      </c>
      <c r="J15" s="283">
        <f>'Key Balance Sheet &amp; CFlow Items'!AS5</f>
        <v>272</v>
      </c>
      <c r="K15" s="283">
        <f>'Key Balance Sheet &amp; CFlow Items'!AT5</f>
        <v>430</v>
      </c>
      <c r="L15" s="283">
        <f>'Key Balance Sheet &amp; CFlow Items'!AU5</f>
        <v>130</v>
      </c>
      <c r="M15" s="283">
        <f>'Key Balance Sheet &amp; CFlow Items'!AV5</f>
        <v>166</v>
      </c>
      <c r="N15" s="283">
        <f>'Key Balance Sheet &amp; CFlow Items'!AW5</f>
        <v>215</v>
      </c>
      <c r="O15" s="283">
        <f>'Key Balance Sheet &amp; CFlow Items'!AX5</f>
        <v>302</v>
      </c>
      <c r="P15" s="283">
        <f>'Key Balance Sheet &amp; CFlow Items'!AY5</f>
        <v>106</v>
      </c>
      <c r="Q15" s="283">
        <f>'Key Balance Sheet &amp; CFlow Items'!AZ5</f>
        <v>116</v>
      </c>
      <c r="R15" s="283">
        <f>'Key Balance Sheet &amp; CFlow Items'!BA5</f>
        <v>140</v>
      </c>
      <c r="S15" s="283">
        <f>'Key Balance Sheet &amp; CFlow Items'!BB5</f>
        <v>312</v>
      </c>
      <c r="Y15" s="281">
        <f>SUMIFS($D15:$T15,$D$4:$T$4,"&gt;"&amp;X$4,$D$4:$T$4,"&lt;="&amp;Y$4)</f>
        <v>1187</v>
      </c>
      <c r="Z15" s="281">
        <f>SUMIFS($D15:$T15,$D$4:$T$4,"&gt;"&amp;Y$4,$D$4:$T$4,"&lt;="&amp;Z$4)</f>
        <v>1114</v>
      </c>
      <c r="AA15" s="281">
        <f>SUMIFS($D15:$T15,$D$4:$T$4,"&gt;"&amp;Z$4,$D$4:$T$4,"&lt;="&amp;AA$4)</f>
        <v>813</v>
      </c>
      <c r="AB15" s="281">
        <f>SUMIFS($D15:$T15,$D$4:$T$4,"&gt;"&amp;AA$4,$D$4:$T$4,"&lt;="&amp;AB$4)</f>
        <v>674</v>
      </c>
      <c r="AC15" s="281"/>
      <c r="AD15" s="281">
        <f>'[1]Income Statement'!CI49</f>
        <v>1199.4569589834009</v>
      </c>
      <c r="AE15" s="281"/>
      <c r="AF15" s="289"/>
      <c r="AG15" s="283" t="s">
        <v>430</v>
      </c>
      <c r="AI15" s="281">
        <f>SUMIFS($D15:$T15,$D$4:$T$4,"&gt;"&amp;DATE(YEAR(AI$4)-1,12,31),$D$4:$T$4,"&lt;="&amp;AI$4)</f>
        <v>813</v>
      </c>
      <c r="AJ15" s="281">
        <f>SUMIFS($D15:$T15,$D$4:$T$4,"&gt;"&amp;DATE(YEAR(AJ$4)-1,12,31),$D$4:$T$4,"&lt;="&amp;AJ$4)</f>
        <v>674</v>
      </c>
      <c r="AK15" s="297">
        <f t="shared" si="8"/>
        <v>-0.17097170971709719</v>
      </c>
    </row>
    <row r="16" spans="1:40" s="283" customFormat="1" x14ac:dyDescent="0.3">
      <c r="A16" s="274"/>
      <c r="B16" s="274" t="s">
        <v>106</v>
      </c>
      <c r="C16" s="274"/>
      <c r="D16" s="283">
        <f t="shared" ref="D16:O16" si="10">D13-D15</f>
        <v>825</v>
      </c>
      <c r="E16" s="283">
        <f t="shared" si="10"/>
        <v>826</v>
      </c>
      <c r="F16" s="283">
        <f t="shared" si="10"/>
        <v>703</v>
      </c>
      <c r="G16" s="283">
        <f t="shared" si="10"/>
        <v>335</v>
      </c>
      <c r="H16" s="283">
        <f t="shared" si="10"/>
        <v>756</v>
      </c>
      <c r="I16" s="283">
        <f t="shared" si="10"/>
        <v>771</v>
      </c>
      <c r="J16" s="283">
        <f t="shared" si="10"/>
        <v>732</v>
      </c>
      <c r="K16" s="283">
        <f t="shared" si="10"/>
        <v>556</v>
      </c>
      <c r="L16" s="283">
        <f t="shared" si="10"/>
        <v>842</v>
      </c>
      <c r="M16" s="283">
        <f t="shared" si="10"/>
        <v>836</v>
      </c>
      <c r="N16" s="283">
        <f t="shared" si="10"/>
        <v>714</v>
      </c>
      <c r="O16" s="283">
        <f t="shared" si="10"/>
        <v>755</v>
      </c>
      <c r="P16" s="283">
        <f t="shared" ref="P16:Q16" si="11">P13-P15</f>
        <v>938</v>
      </c>
      <c r="Q16" s="283">
        <f t="shared" si="11"/>
        <v>930</v>
      </c>
      <c r="R16" s="283">
        <f t="shared" ref="R16:S16" si="12">R13-R15</f>
        <v>908</v>
      </c>
      <c r="S16" s="283">
        <f t="shared" si="12"/>
        <v>672</v>
      </c>
      <c r="Y16" s="281">
        <f>SUMIFS($D16:$T16,$D$4:$T$4,"&gt;"&amp;X$4,$D$4:$T$4,"&lt;="&amp;Y$4)</f>
        <v>2689</v>
      </c>
      <c r="Z16" s="281">
        <f>SUMIFS($D16:$T16,$D$4:$T$4,"&gt;"&amp;Y$4,$D$4:$T$4,"&lt;="&amp;Z$4)</f>
        <v>2815</v>
      </c>
      <c r="AA16" s="281">
        <f>SUMIFS($D16:$T16,$D$4:$T$4,"&gt;"&amp;Z$4,$D$4:$T$4,"&lt;="&amp;AA$4)</f>
        <v>3147</v>
      </c>
      <c r="AB16" s="281">
        <f>SUMIFS($D16:$T16,$D$4:$T$4,"&gt;"&amp;AA$4,$D$4:$T$4,"&lt;="&amp;AB$4)</f>
        <v>3448</v>
      </c>
      <c r="AC16" s="281"/>
      <c r="AD16" s="281">
        <f>AD13-AD15</f>
        <v>3097.0768759181083</v>
      </c>
      <c r="AE16" s="281"/>
      <c r="AF16" s="289"/>
      <c r="AI16" s="281">
        <f>SUMIFS($D16:$T16,$D$4:$T$4,"&gt;"&amp;DATE(YEAR(AI$4)-1,12,31),$D$4:$T$4,"&lt;="&amp;AI$4)</f>
        <v>3147</v>
      </c>
      <c r="AJ16" s="281">
        <f>SUMIFS($D16:$T16,$D$4:$T$4,"&gt;"&amp;DATE(YEAR(AJ$4)-1,12,31),$D$4:$T$4,"&lt;="&amp;AJ$4)</f>
        <v>3448</v>
      </c>
      <c r="AK16" s="297">
        <f t="shared" si="8"/>
        <v>9.56466476008897E-2</v>
      </c>
    </row>
    <row r="17" spans="1:31" s="283" customFormat="1" x14ac:dyDescent="0.3">
      <c r="A17" s="274"/>
      <c r="B17" s="274"/>
      <c r="C17" s="274"/>
      <c r="AA17" s="289">
        <f>AA15/AA12</f>
        <v>7.9862475442043224E-2</v>
      </c>
      <c r="AB17" s="289">
        <f>AB15/AB12</f>
        <v>6.3971146545178437E-2</v>
      </c>
    </row>
    <row r="18" spans="1:31" s="283" customFormat="1" x14ac:dyDescent="0.3">
      <c r="A18" s="274"/>
      <c r="B18" s="286" t="s">
        <v>387</v>
      </c>
      <c r="C18" s="286"/>
      <c r="D18" s="287"/>
      <c r="E18" s="287"/>
      <c r="F18" s="287"/>
      <c r="G18" s="287"/>
      <c r="H18" s="287"/>
      <c r="I18" s="287"/>
      <c r="J18" s="287"/>
      <c r="K18" s="287"/>
      <c r="L18" s="287"/>
      <c r="M18" s="287"/>
      <c r="N18" s="287"/>
      <c r="O18" s="287"/>
      <c r="P18" s="287"/>
      <c r="Q18" s="287"/>
      <c r="R18" s="287"/>
      <c r="S18" s="287"/>
      <c r="AD18" s="289">
        <f>1000/AD12</f>
        <v>9.1708167747203237E-2</v>
      </c>
    </row>
    <row r="19" spans="1:31" s="283" customFormat="1" x14ac:dyDescent="0.3">
      <c r="A19" s="274"/>
      <c r="B19" s="274" t="s">
        <v>388</v>
      </c>
      <c r="C19" s="274"/>
      <c r="D19" s="283">
        <f>'Domestic Mobile Operations'!AM25</f>
        <v>47.4</v>
      </c>
      <c r="E19" s="283">
        <f>'Domestic Mobile Operations'!AN25</f>
        <v>47</v>
      </c>
      <c r="F19" s="283">
        <f>'Domestic Mobile Operations'!AO25</f>
        <v>46.6</v>
      </c>
      <c r="G19" s="283">
        <f>'Domestic Mobile Operations'!AP25</f>
        <v>45.9</v>
      </c>
      <c r="H19" s="283">
        <f>'Domestic Mobile Operations'!AQ25</f>
        <v>46.2</v>
      </c>
      <c r="I19" s="283">
        <f>'Domestic Mobile Operations'!AR25</f>
        <v>47.7</v>
      </c>
      <c r="J19" s="283">
        <f>'Domestic Mobile Operations'!AS25</f>
        <v>47.3</v>
      </c>
      <c r="K19" s="283">
        <f>'Domestic Mobile Operations'!AT25</f>
        <v>47.8</v>
      </c>
      <c r="L19" s="283">
        <f>'Domestic Mobile Operations'!AU25</f>
        <v>46.9</v>
      </c>
      <c r="M19" s="283">
        <f>'Domestic Mobile Operations'!AV25</f>
        <v>47</v>
      </c>
      <c r="N19" s="283">
        <f>'Domestic Mobile Operations'!AW25</f>
        <v>46.7</v>
      </c>
      <c r="O19" s="283">
        <f>'Domestic Mobile Operations'!AX25</f>
        <v>45.8</v>
      </c>
      <c r="P19" s="283">
        <f>'Domestic Mobile Operations'!AY25</f>
        <v>44.7</v>
      </c>
      <c r="Q19" s="283">
        <f>'Domestic Mobile Operations'!AZ25</f>
        <v>44.7</v>
      </c>
      <c r="R19" s="283">
        <f>'Domestic Mobile Operations'!BA25</f>
        <v>44.2</v>
      </c>
      <c r="S19" s="283">
        <f>'Domestic Mobile Operations'!BB25</f>
        <v>44.5</v>
      </c>
    </row>
    <row r="20" spans="1:31" s="283" customFormat="1" x14ac:dyDescent="0.3">
      <c r="A20" s="274"/>
      <c r="B20" s="274" t="s">
        <v>155</v>
      </c>
      <c r="C20" s="274"/>
      <c r="D20" s="283">
        <f>'Domestic Mobile Operations'!AM23</f>
        <v>31.6</v>
      </c>
      <c r="E20" s="283">
        <f>'Domestic Mobile Operations'!AN23</f>
        <v>31</v>
      </c>
      <c r="F20" s="283">
        <f>'Domestic Mobile Operations'!AO23</f>
        <v>30.5</v>
      </c>
      <c r="G20" s="283">
        <f>'Domestic Mobile Operations'!AP23</f>
        <v>29.7</v>
      </c>
      <c r="H20" s="283">
        <f>'Domestic Mobile Operations'!AQ23</f>
        <v>30.2</v>
      </c>
      <c r="I20" s="283">
        <f>'Domestic Mobile Operations'!AR23</f>
        <v>31.8</v>
      </c>
      <c r="J20" s="283">
        <f>'Domestic Mobile Operations'!AS23</f>
        <v>31.3</v>
      </c>
      <c r="K20" s="283">
        <f>'Domestic Mobile Operations'!AT23</f>
        <v>31.8</v>
      </c>
      <c r="L20" s="283">
        <f>'Domestic Mobile Operations'!AU23</f>
        <v>30.7</v>
      </c>
      <c r="M20" s="283">
        <f>'Domestic Mobile Operations'!AV23</f>
        <v>30.8</v>
      </c>
      <c r="N20" s="283">
        <f>'Domestic Mobile Operations'!AW23</f>
        <v>30.7</v>
      </c>
      <c r="O20" s="283">
        <f>'Domestic Mobile Operations'!AX23</f>
        <v>29.6</v>
      </c>
      <c r="P20" s="283">
        <f>'Domestic Mobile Operations'!AY23</f>
        <v>28.7</v>
      </c>
      <c r="Q20" s="283">
        <f>'Domestic Mobile Operations'!AZ23</f>
        <v>28.9</v>
      </c>
      <c r="R20" s="283">
        <f>'Domestic Mobile Operations'!BA23</f>
        <v>28.4</v>
      </c>
      <c r="S20" s="283">
        <f>'Domestic Mobile Operations'!BB23</f>
        <v>28.1</v>
      </c>
    </row>
    <row r="21" spans="1:31" s="283" customFormat="1" x14ac:dyDescent="0.3">
      <c r="A21" s="274"/>
      <c r="B21" s="274" t="s">
        <v>156</v>
      </c>
      <c r="C21" s="274"/>
      <c r="D21" s="283">
        <f>'Domestic Mobile Operations'!AM24</f>
        <v>76</v>
      </c>
      <c r="E21" s="283">
        <f>'Domestic Mobile Operations'!AN24</f>
        <v>75.400000000000006</v>
      </c>
      <c r="F21" s="283">
        <f>'Domestic Mobile Operations'!AO24</f>
        <v>75</v>
      </c>
      <c r="G21" s="283">
        <f>'Domestic Mobile Operations'!AP24</f>
        <v>73.400000000000006</v>
      </c>
      <c r="H21" s="283">
        <f>'Domestic Mobile Operations'!AQ24</f>
        <v>72.5</v>
      </c>
      <c r="I21" s="283">
        <f>'Domestic Mobile Operations'!AR24</f>
        <v>72.7</v>
      </c>
      <c r="J21" s="283">
        <f>'Domestic Mobile Operations'!AS24</f>
        <v>72.8</v>
      </c>
      <c r="K21" s="283">
        <f>'Domestic Mobile Operations'!AT24</f>
        <v>72.7</v>
      </c>
      <c r="L21" s="283">
        <f>'Domestic Mobile Operations'!AU24</f>
        <v>71.3</v>
      </c>
      <c r="M21" s="283">
        <f>'Domestic Mobile Operations'!AV24</f>
        <v>71</v>
      </c>
      <c r="N21" s="283">
        <f>'Domestic Mobile Operations'!AW24</f>
        <v>70.2</v>
      </c>
      <c r="O21" s="283">
        <f>'Domestic Mobile Operations'!AX24</f>
        <v>69.8</v>
      </c>
      <c r="P21" s="283">
        <f>'Domestic Mobile Operations'!AY24</f>
        <v>68.3</v>
      </c>
      <c r="Q21" s="283">
        <f>'Domestic Mobile Operations'!AZ24</f>
        <v>67.5</v>
      </c>
      <c r="R21" s="283">
        <f>'Domestic Mobile Operations'!BA24</f>
        <v>67</v>
      </c>
      <c r="S21" s="283">
        <f>'Domestic Mobile Operations'!BB24</f>
        <v>67.599999999999994</v>
      </c>
    </row>
    <row r="22" spans="1:31" s="283" customFormat="1" x14ac:dyDescent="0.3">
      <c r="A22" s="274"/>
      <c r="B22" s="274"/>
      <c r="C22" s="274"/>
    </row>
    <row r="23" spans="1:31" s="283" customFormat="1" x14ac:dyDescent="0.3">
      <c r="A23" s="274"/>
      <c r="B23" s="282" t="s">
        <v>389</v>
      </c>
      <c r="C23" s="282"/>
      <c r="D23" s="283">
        <f>SUM(D24:D25)</f>
        <v>11371</v>
      </c>
      <c r="E23" s="283">
        <f>SUM(E24:E25)</f>
        <v>11493</v>
      </c>
      <c r="F23" s="283">
        <f>SUM(F24:F25)</f>
        <v>11441</v>
      </c>
      <c r="G23" s="283">
        <f>SUM(G24:G25)</f>
        <v>11618</v>
      </c>
      <c r="H23" s="283">
        <f>SUM(H24:H25)</f>
        <v>11416</v>
      </c>
      <c r="I23" s="283">
        <f t="shared" ref="I23:M23" si="13">SUM(I24:I25)</f>
        <v>11547</v>
      </c>
      <c r="J23" s="283">
        <f t="shared" si="13"/>
        <v>11666</v>
      </c>
      <c r="K23" s="283">
        <f t="shared" si="13"/>
        <v>11738</v>
      </c>
      <c r="L23" s="283">
        <f t="shared" si="13"/>
        <v>11789</v>
      </c>
      <c r="M23" s="283">
        <f t="shared" si="13"/>
        <v>11753</v>
      </c>
      <c r="N23" s="283">
        <f t="shared" ref="N23:O23" si="14">SUM(N24:N25)</f>
        <v>12010</v>
      </c>
      <c r="O23" s="283">
        <f t="shared" si="14"/>
        <v>12511</v>
      </c>
      <c r="P23" s="283">
        <f t="shared" ref="P23:Q23" si="15">SUM(P24:P25)</f>
        <v>12430</v>
      </c>
      <c r="Q23" s="283">
        <f t="shared" si="15"/>
        <v>12626</v>
      </c>
      <c r="R23" s="283">
        <f t="shared" ref="R23:S23" si="16">SUM(R24:R25)</f>
        <v>12737</v>
      </c>
      <c r="S23" s="283">
        <f t="shared" si="16"/>
        <v>12826</v>
      </c>
    </row>
    <row r="24" spans="1:31" s="283" customFormat="1" x14ac:dyDescent="0.3">
      <c r="A24" s="274"/>
      <c r="B24" s="274" t="s">
        <v>390</v>
      </c>
      <c r="C24" s="274"/>
      <c r="D24" s="283">
        <f>'Domestic Mobile Operations'!AM12</f>
        <v>7365</v>
      </c>
      <c r="E24" s="283">
        <f>'Domestic Mobile Operations'!AN12</f>
        <v>7360</v>
      </c>
      <c r="F24" s="283">
        <f>'Domestic Mobile Operations'!AO12</f>
        <v>7334</v>
      </c>
      <c r="G24" s="283">
        <f>'Domestic Mobile Operations'!AP12</f>
        <v>7359</v>
      </c>
      <c r="H24" s="283">
        <f>'Domestic Mobile Operations'!AQ12</f>
        <v>7092</v>
      </c>
      <c r="I24" s="283">
        <f>'Domestic Mobile Operations'!AR12</f>
        <v>7149</v>
      </c>
      <c r="J24" s="283">
        <f>'Domestic Mobile Operations'!AS12</f>
        <v>7188</v>
      </c>
      <c r="K24" s="283">
        <f>'Domestic Mobile Operations'!AT12</f>
        <v>7147</v>
      </c>
      <c r="L24" s="283">
        <f>'Domestic Mobile Operations'!AU12</f>
        <v>7126</v>
      </c>
      <c r="M24" s="283">
        <f>'Domestic Mobile Operations'!AV12</f>
        <v>7032</v>
      </c>
      <c r="N24" s="283">
        <f>'Domestic Mobile Operations'!AW12</f>
        <v>7185</v>
      </c>
      <c r="O24" s="283">
        <f>'Domestic Mobile Operations'!AX12</f>
        <v>7589</v>
      </c>
      <c r="P24" s="283">
        <f>'Domestic Mobile Operations'!AY12</f>
        <v>7397</v>
      </c>
      <c r="Q24" s="283">
        <f>'Domestic Mobile Operations'!AZ12</f>
        <v>7497</v>
      </c>
      <c r="R24" s="283">
        <f>'Domestic Mobile Operations'!BA12</f>
        <v>7494</v>
      </c>
      <c r="S24" s="283">
        <f>'Domestic Mobile Operations'!BB12</f>
        <v>7438</v>
      </c>
    </row>
    <row r="25" spans="1:31" s="283" customFormat="1" x14ac:dyDescent="0.3">
      <c r="A25" s="274"/>
      <c r="B25" s="274" t="s">
        <v>391</v>
      </c>
      <c r="C25" s="274"/>
      <c r="D25" s="283">
        <f>'Domestic Mobile Operations'!AM13</f>
        <v>4006</v>
      </c>
      <c r="E25" s="283">
        <f>'Domestic Mobile Operations'!AN13</f>
        <v>4133</v>
      </c>
      <c r="F25" s="283">
        <f>'Domestic Mobile Operations'!AO13</f>
        <v>4107</v>
      </c>
      <c r="G25" s="283">
        <f>'Domestic Mobile Operations'!AP13</f>
        <v>4259</v>
      </c>
      <c r="H25" s="283">
        <f>'Domestic Mobile Operations'!AQ13</f>
        <v>4324</v>
      </c>
      <c r="I25" s="283">
        <f>'Domestic Mobile Operations'!AR13</f>
        <v>4398</v>
      </c>
      <c r="J25" s="283">
        <f>'Domestic Mobile Operations'!AS13</f>
        <v>4478</v>
      </c>
      <c r="K25" s="283">
        <f>'Domestic Mobile Operations'!AT13</f>
        <v>4591</v>
      </c>
      <c r="L25" s="283">
        <f>'Domestic Mobile Operations'!AU13</f>
        <v>4663</v>
      </c>
      <c r="M25" s="283">
        <f>'Domestic Mobile Operations'!AV13</f>
        <v>4721</v>
      </c>
      <c r="N25" s="283">
        <f>'Domestic Mobile Operations'!AW13</f>
        <v>4825</v>
      </c>
      <c r="O25" s="283">
        <f>'Domestic Mobile Operations'!AX13</f>
        <v>4922</v>
      </c>
      <c r="P25" s="283">
        <f>'Domestic Mobile Operations'!AY13</f>
        <v>5033</v>
      </c>
      <c r="Q25" s="283">
        <f>'Domestic Mobile Operations'!AZ13</f>
        <v>5129</v>
      </c>
      <c r="R25" s="283">
        <f>'Domestic Mobile Operations'!BA13</f>
        <v>5243</v>
      </c>
      <c r="S25" s="283">
        <f>'Domestic Mobile Operations'!BB13</f>
        <v>5388</v>
      </c>
    </row>
    <row r="27" spans="1:31" x14ac:dyDescent="0.3">
      <c r="B27" s="286" t="s">
        <v>392</v>
      </c>
      <c r="C27" s="286"/>
      <c r="D27" s="288"/>
      <c r="E27" s="288"/>
      <c r="F27" s="288"/>
      <c r="G27" s="288"/>
      <c r="H27" s="288"/>
      <c r="I27" s="288"/>
      <c r="J27" s="288"/>
      <c r="K27" s="288"/>
      <c r="L27" s="288"/>
      <c r="M27" s="288"/>
      <c r="N27" s="288"/>
      <c r="O27" s="288"/>
      <c r="P27" s="288"/>
      <c r="Q27" s="288"/>
      <c r="R27" s="288"/>
      <c r="S27" s="288"/>
    </row>
    <row r="28" spans="1:31" x14ac:dyDescent="0.3">
      <c r="B28" s="274" t="s">
        <v>145</v>
      </c>
      <c r="F28" s="289"/>
      <c r="G28" s="289"/>
      <c r="H28" s="289">
        <f t="shared" ref="H28:S35" si="17">H6/D6-1</f>
        <v>4.9465240641711317E-2</v>
      </c>
      <c r="I28" s="289">
        <f t="shared" si="17"/>
        <v>5.7441253263707637E-2</v>
      </c>
      <c r="J28" s="289">
        <f t="shared" si="17"/>
        <v>6.0025542784163388E-2</v>
      </c>
      <c r="K28" s="289">
        <f t="shared" si="17"/>
        <v>0.10966057441253274</v>
      </c>
      <c r="L28" s="289">
        <f t="shared" si="17"/>
        <v>0.10063694267515921</v>
      </c>
      <c r="M28" s="289">
        <f t="shared" si="17"/>
        <v>7.5308641975308621E-2</v>
      </c>
      <c r="N28" s="289">
        <f t="shared" si="17"/>
        <v>6.2650602409638489E-2</v>
      </c>
      <c r="O28" s="289">
        <f t="shared" si="17"/>
        <v>6.23529411764705E-2</v>
      </c>
      <c r="P28" s="289">
        <f t="shared" si="17"/>
        <v>5.439814814814814E-2</v>
      </c>
      <c r="Q28" s="289">
        <f t="shared" si="17"/>
        <v>5.1664753157290466E-2</v>
      </c>
      <c r="R28" s="289">
        <f t="shared" si="17"/>
        <v>4.8752834467120199E-2</v>
      </c>
      <c r="S28" s="289">
        <f t="shared" si="17"/>
        <v>4.9833887043189362E-2</v>
      </c>
      <c r="Z28" s="297">
        <f t="shared" ref="Z28:AD35" si="18">Z6/Y6-1</f>
        <v>6.9213189683317022E-2</v>
      </c>
      <c r="AA28" s="297">
        <f t="shared" si="18"/>
        <v>7.4809160305343569E-2</v>
      </c>
      <c r="AB28" s="297">
        <f t="shared" si="18"/>
        <v>5.1136363636363535E-2</v>
      </c>
      <c r="AC28" s="297"/>
      <c r="AD28" s="297"/>
      <c r="AE28" s="297"/>
    </row>
    <row r="29" spans="1:31" x14ac:dyDescent="0.3">
      <c r="B29" s="274" t="s">
        <v>144</v>
      </c>
      <c r="F29" s="289"/>
      <c r="G29" s="289"/>
      <c r="H29" s="289">
        <f t="shared" si="17"/>
        <v>-4.7826086956521685E-2</v>
      </c>
      <c r="I29" s="289">
        <f t="shared" si="17"/>
        <v>-8.7591240875912746E-3</v>
      </c>
      <c r="J29" s="289">
        <f t="shared" si="17"/>
        <v>-1.3138686131386912E-2</v>
      </c>
      <c r="K29" s="289">
        <f t="shared" si="17"/>
        <v>3.969465648854964E-2</v>
      </c>
      <c r="L29" s="289">
        <f t="shared" si="17"/>
        <v>6.0882800608828003E-3</v>
      </c>
      <c r="M29" s="289">
        <f t="shared" si="17"/>
        <v>-4.123711340206182E-2</v>
      </c>
      <c r="N29" s="289">
        <f t="shared" si="17"/>
        <v>-3.5502958579881616E-2</v>
      </c>
      <c r="O29" s="289">
        <f t="shared" si="17"/>
        <v>-3.8179148311306865E-2</v>
      </c>
      <c r="P29" s="289">
        <f t="shared" si="17"/>
        <v>-1.8154311649016597E-2</v>
      </c>
      <c r="Q29" s="289">
        <f t="shared" si="17"/>
        <v>-4.6082949308755561E-3</v>
      </c>
      <c r="R29" s="289">
        <f t="shared" si="17"/>
        <v>-1.6871165644171793E-2</v>
      </c>
      <c r="S29" s="289">
        <f t="shared" si="17"/>
        <v>-4.2748091603053484E-2</v>
      </c>
      <c r="Z29" s="297">
        <f t="shared" si="18"/>
        <v>-8.1031307550644138E-3</v>
      </c>
      <c r="AA29" s="297">
        <f t="shared" si="18"/>
        <v>-2.7478648347567747E-2</v>
      </c>
      <c r="AB29" s="297">
        <f t="shared" si="18"/>
        <v>-2.0618556701030966E-2</v>
      </c>
      <c r="AC29" s="297"/>
      <c r="AD29" s="297"/>
      <c r="AE29" s="297"/>
    </row>
    <row r="30" spans="1:31" s="282" customFormat="1" x14ac:dyDescent="0.3">
      <c r="B30" s="282" t="s">
        <v>383</v>
      </c>
      <c r="F30" s="290"/>
      <c r="G30" s="290"/>
      <c r="H30" s="290">
        <f t="shared" si="17"/>
        <v>2.7816411682892728E-3</v>
      </c>
      <c r="I30" s="290">
        <f t="shared" si="17"/>
        <v>2.6188835286009571E-2</v>
      </c>
      <c r="J30" s="290">
        <f t="shared" si="17"/>
        <v>2.5885558583106372E-2</v>
      </c>
      <c r="K30" s="290">
        <f t="shared" si="17"/>
        <v>7.7410274454609462E-2</v>
      </c>
      <c r="L30" s="290">
        <f t="shared" si="17"/>
        <v>5.7558945908460446E-2</v>
      </c>
      <c r="M30" s="290">
        <f t="shared" si="17"/>
        <v>2.2162525184687754E-2</v>
      </c>
      <c r="N30" s="290">
        <f t="shared" si="17"/>
        <v>1.8592297476759612E-2</v>
      </c>
      <c r="O30" s="290">
        <f t="shared" si="17"/>
        <v>1.7635532331809367E-2</v>
      </c>
      <c r="P30" s="290">
        <f t="shared" si="17"/>
        <v>2.2950819672131084E-2</v>
      </c>
      <c r="Q30" s="290">
        <f t="shared" si="17"/>
        <v>2.7595269382391541E-2</v>
      </c>
      <c r="R30" s="290">
        <f t="shared" si="17"/>
        <v>2.0860495436766602E-2</v>
      </c>
      <c r="S30" s="290">
        <f t="shared" si="17"/>
        <v>1.0911424903722766E-2</v>
      </c>
      <c r="Z30" s="300">
        <f t="shared" si="18"/>
        <v>3.2883350640360076E-2</v>
      </c>
      <c r="AA30" s="300">
        <f t="shared" si="18"/>
        <v>2.8652815013404886E-2</v>
      </c>
      <c r="AB30" s="300">
        <f t="shared" si="18"/>
        <v>2.0524515393386622E-2</v>
      </c>
      <c r="AC30" s="300"/>
      <c r="AD30" s="300"/>
      <c r="AE30" s="300"/>
    </row>
    <row r="31" spans="1:31" x14ac:dyDescent="0.3">
      <c r="B31" s="274" t="s">
        <v>349</v>
      </c>
      <c r="F31" s="289"/>
      <c r="G31" s="289"/>
      <c r="H31" s="289">
        <f t="shared" si="17"/>
        <v>0.21212121212121215</v>
      </c>
      <c r="I31" s="289">
        <f t="shared" si="17"/>
        <v>0.19428571428571439</v>
      </c>
      <c r="J31" s="289">
        <f t="shared" si="17"/>
        <v>0.16216216216216206</v>
      </c>
      <c r="K31" s="289">
        <f t="shared" si="17"/>
        <v>0.11734693877551017</v>
      </c>
      <c r="L31" s="289">
        <f t="shared" si="17"/>
        <v>0.1100000000000001</v>
      </c>
      <c r="M31" s="289">
        <f t="shared" si="17"/>
        <v>9.5693779904306275E-2</v>
      </c>
      <c r="N31" s="289">
        <f t="shared" si="17"/>
        <v>7.441860465116279E-2</v>
      </c>
      <c r="O31" s="289">
        <f t="shared" si="17"/>
        <v>0.1095890410958904</v>
      </c>
      <c r="P31" s="289">
        <f t="shared" si="17"/>
        <v>9.9099099099099197E-2</v>
      </c>
      <c r="Q31" s="289">
        <f t="shared" si="17"/>
        <v>9.606986899563319E-2</v>
      </c>
      <c r="R31" s="289">
        <f t="shared" si="17"/>
        <v>8.6580086580086535E-2</v>
      </c>
      <c r="S31" s="289">
        <f t="shared" si="17"/>
        <v>1.6460905349794164E-2</v>
      </c>
      <c r="Z31" s="297">
        <f t="shared" si="18"/>
        <v>0.1692094313453536</v>
      </c>
      <c r="AA31" s="297">
        <f t="shared" si="18"/>
        <v>9.7271648873072269E-2</v>
      </c>
      <c r="AB31" s="297">
        <f t="shared" si="18"/>
        <v>7.3513513513513429E-2</v>
      </c>
      <c r="AC31" s="297"/>
      <c r="AD31" s="297"/>
      <c r="AE31" s="297"/>
    </row>
    <row r="32" spans="1:31" x14ac:dyDescent="0.3">
      <c r="B32" s="274" t="s">
        <v>384</v>
      </c>
      <c r="F32" s="289"/>
      <c r="G32" s="289"/>
      <c r="H32" s="289">
        <f t="shared" si="17"/>
        <v>5.4347826086956541E-2</v>
      </c>
      <c r="I32" s="289">
        <f t="shared" si="17"/>
        <v>4.0431266846361114E-2</v>
      </c>
      <c r="J32" s="289">
        <f t="shared" si="17"/>
        <v>1.8421052631578894E-2</v>
      </c>
      <c r="K32" s="289">
        <f t="shared" si="17"/>
        <v>-8.7719298245614086E-2</v>
      </c>
      <c r="L32" s="289">
        <f t="shared" si="17"/>
        <v>-5.9278350515463929E-2</v>
      </c>
      <c r="M32" s="289">
        <f t="shared" si="17"/>
        <v>-6.2176165803108807E-2</v>
      </c>
      <c r="N32" s="289">
        <f t="shared" si="17"/>
        <v>-1.8087855297157618E-2</v>
      </c>
      <c r="O32" s="289">
        <f t="shared" si="17"/>
        <v>0.10164835164835173</v>
      </c>
      <c r="P32" s="289">
        <f t="shared" si="17"/>
        <v>6.02739726027397E-2</v>
      </c>
      <c r="Q32" s="289">
        <f t="shared" si="17"/>
        <v>0.10773480662983426</v>
      </c>
      <c r="R32" s="289">
        <f t="shared" si="17"/>
        <v>4.2105263157894646E-2</v>
      </c>
      <c r="S32" s="289">
        <f t="shared" si="17"/>
        <v>6.2344139650872821E-2</v>
      </c>
      <c r="Z32" s="297">
        <f t="shared" si="18"/>
        <v>4.6113306982871194E-3</v>
      </c>
      <c r="AA32" s="297">
        <f t="shared" si="18"/>
        <v>-1.1147540983606596E-2</v>
      </c>
      <c r="AB32" s="297">
        <f t="shared" si="18"/>
        <v>6.7639257294429767E-2</v>
      </c>
      <c r="AC32" s="297"/>
      <c r="AD32" s="297"/>
      <c r="AE32" s="297"/>
    </row>
    <row r="33" spans="2:33" x14ac:dyDescent="0.3">
      <c r="B33" s="282" t="s">
        <v>385</v>
      </c>
      <c r="C33" s="282"/>
      <c r="D33" s="282"/>
      <c r="E33" s="282"/>
      <c r="F33" s="290"/>
      <c r="G33" s="290"/>
      <c r="H33" s="290">
        <f t="shared" si="17"/>
        <v>2.9934043632673824E-2</v>
      </c>
      <c r="I33" s="290">
        <f t="shared" si="17"/>
        <v>4.3565348022033046E-2</v>
      </c>
      <c r="J33" s="290">
        <f t="shared" si="17"/>
        <v>3.6891293654697455E-2</v>
      </c>
      <c r="K33" s="290">
        <f t="shared" si="17"/>
        <v>4.861111111111116E-2</v>
      </c>
      <c r="L33" s="290">
        <f t="shared" si="17"/>
        <v>4.0394088669950756E-2</v>
      </c>
      <c r="M33" s="290">
        <f t="shared" si="17"/>
        <v>1.3915547024952124E-2</v>
      </c>
      <c r="N33" s="290">
        <f t="shared" si="17"/>
        <v>1.7552182163187879E-2</v>
      </c>
      <c r="O33" s="290">
        <f t="shared" si="17"/>
        <v>4.1627246925260097E-2</v>
      </c>
      <c r="P33" s="290">
        <f t="shared" si="17"/>
        <v>3.7405303030302983E-2</v>
      </c>
      <c r="Q33" s="290">
        <f t="shared" si="17"/>
        <v>4.8745858968291422E-2</v>
      </c>
      <c r="R33" s="290">
        <f t="shared" si="17"/>
        <v>3.170163170163165E-2</v>
      </c>
      <c r="S33" s="290">
        <f t="shared" si="17"/>
        <v>2.0890099909173454E-2</v>
      </c>
      <c r="Z33" s="300">
        <f t="shared" si="18"/>
        <v>3.979044530372966E-2</v>
      </c>
      <c r="AA33" s="300">
        <f t="shared" si="18"/>
        <v>2.831094049904026E-2</v>
      </c>
      <c r="AB33" s="300">
        <f t="shared" si="18"/>
        <v>3.4531031264582346E-2</v>
      </c>
      <c r="AC33" s="300"/>
      <c r="AD33" s="300">
        <f>AD11/AB11-1</f>
        <v>3.3636132099071903E-2</v>
      </c>
      <c r="AE33" s="300">
        <f>AE11/AB11-1</f>
        <v>1.8533314415886126E-2</v>
      </c>
      <c r="AG33" s="274" t="s">
        <v>415</v>
      </c>
    </row>
    <row r="34" spans="2:33" x14ac:dyDescent="0.3">
      <c r="B34" s="282" t="s">
        <v>386</v>
      </c>
      <c r="C34" s="282"/>
      <c r="D34" s="282"/>
      <c r="E34" s="282"/>
      <c r="F34" s="290"/>
      <c r="G34" s="290"/>
      <c r="H34" s="290">
        <f t="shared" si="17"/>
        <v>7.4107142857142927E-2</v>
      </c>
      <c r="I34" s="290">
        <f t="shared" si="17"/>
        <v>6.5963060686015762E-2</v>
      </c>
      <c r="J34" s="290">
        <f t="shared" si="17"/>
        <v>5.9004843681197627E-2</v>
      </c>
      <c r="K34" s="290">
        <f t="shared" si="17"/>
        <v>3.9902280130293066E-2</v>
      </c>
      <c r="L34" s="290">
        <f t="shared" si="17"/>
        <v>4.9875311720698257E-2</v>
      </c>
      <c r="M34" s="290">
        <f t="shared" si="17"/>
        <v>1.8976897689769068E-2</v>
      </c>
      <c r="N34" s="290">
        <f t="shared" si="17"/>
        <v>1.538461538461533E-2</v>
      </c>
      <c r="O34" s="290">
        <f t="shared" si="17"/>
        <v>7.3610023492560739E-2</v>
      </c>
      <c r="P34" s="290">
        <f t="shared" si="17"/>
        <v>3.0482977038796433E-2</v>
      </c>
      <c r="Q34" s="290">
        <f t="shared" si="17"/>
        <v>4.6963562753036481E-2</v>
      </c>
      <c r="R34" s="290">
        <f t="shared" si="17"/>
        <v>5.4873054873054938E-2</v>
      </c>
      <c r="S34" s="290">
        <f t="shared" si="17"/>
        <v>1.0576221735959068E-2</v>
      </c>
      <c r="Z34" s="300">
        <f t="shared" si="18"/>
        <v>5.9300941456552403E-2</v>
      </c>
      <c r="AA34" s="300">
        <f t="shared" si="18"/>
        <v>3.9942792930840687E-2</v>
      </c>
      <c r="AB34" s="300">
        <f t="shared" si="18"/>
        <v>3.4970530451866377E-2</v>
      </c>
      <c r="AC34" s="300"/>
      <c r="AD34" s="300">
        <f>AD12/AB12-1</f>
        <v>3.4942499295403495E-2</v>
      </c>
      <c r="AE34" s="300">
        <f>AE12/AB12-1</f>
        <v>1.7283590784556102E-2</v>
      </c>
    </row>
    <row r="35" spans="2:33" s="282" customFormat="1" x14ac:dyDescent="0.3">
      <c r="B35" s="282" t="s">
        <v>344</v>
      </c>
      <c r="F35" s="290"/>
      <c r="G35" s="290"/>
      <c r="H35" s="290">
        <f t="shared" si="17"/>
        <v>-3.5379812695109258E-2</v>
      </c>
      <c r="I35" s="290">
        <f t="shared" si="17"/>
        <v>5.9642147117295874E-3</v>
      </c>
      <c r="J35" s="290">
        <f t="shared" si="17"/>
        <v>2.763561924257929E-2</v>
      </c>
      <c r="K35" s="290">
        <f t="shared" si="17"/>
        <v>5.7939914163090078E-2</v>
      </c>
      <c r="L35" s="290">
        <f t="shared" si="17"/>
        <v>4.8543689320388328E-2</v>
      </c>
      <c r="M35" s="290">
        <f t="shared" si="17"/>
        <v>-9.8814229249012397E-3</v>
      </c>
      <c r="N35" s="290">
        <f t="shared" si="17"/>
        <v>-7.4701195219123551E-2</v>
      </c>
      <c r="O35" s="290">
        <f t="shared" si="17"/>
        <v>7.2008113590263712E-2</v>
      </c>
      <c r="P35" s="290">
        <f t="shared" si="17"/>
        <v>7.4074074074074181E-2</v>
      </c>
      <c r="Q35" s="290">
        <f t="shared" si="17"/>
        <v>4.3912175648702645E-2</v>
      </c>
      <c r="R35" s="290">
        <f t="shared" si="17"/>
        <v>0.12809472551130252</v>
      </c>
      <c r="S35" s="290">
        <f t="shared" si="17"/>
        <v>-6.9063386944181682E-2</v>
      </c>
      <c r="Z35" s="300">
        <f t="shared" si="18"/>
        <v>1.3673890608875139E-2</v>
      </c>
      <c r="AA35" s="300">
        <f t="shared" si="18"/>
        <v>7.8900483583608239E-3</v>
      </c>
      <c r="AB35" s="300">
        <f t="shared" si="18"/>
        <v>4.0909090909091006E-2</v>
      </c>
      <c r="AC35" s="300"/>
      <c r="AD35" s="300">
        <f>AD13/AB13-1</f>
        <v>4.2342026904781394E-2</v>
      </c>
      <c r="AE35" s="300">
        <f>AE13/AB13-1</f>
        <v>2.6336866573337225E-2</v>
      </c>
      <c r="AG35" s="322" t="s">
        <v>428</v>
      </c>
    </row>
    <row r="36" spans="2:33" x14ac:dyDescent="0.3">
      <c r="B36" s="274" t="s">
        <v>401</v>
      </c>
      <c r="D36" s="282"/>
      <c r="E36" s="282"/>
      <c r="F36" s="302"/>
      <c r="G36" s="302"/>
      <c r="H36" s="302">
        <f t="shared" ref="H36:H37" si="19">H15/D15-1</f>
        <v>0.25735294117647056</v>
      </c>
      <c r="I36" s="302">
        <f t="shared" ref="I36:I37" si="20">I15/E15-1</f>
        <v>0.3388888888888888</v>
      </c>
      <c r="J36" s="302">
        <f t="shared" ref="J36:J37" si="21">J15/F15-1</f>
        <v>-7.2992700729926918E-3</v>
      </c>
      <c r="K36" s="302">
        <f t="shared" ref="K36:K37" si="22">K15/G15-1</f>
        <v>-0.27973199329983245</v>
      </c>
      <c r="L36" s="302">
        <f t="shared" ref="L36:L37" si="23">L15/H15-1</f>
        <v>-0.23976608187134507</v>
      </c>
      <c r="M36" s="302">
        <f t="shared" ref="M36:M37" si="24">M15/I15-1</f>
        <v>-0.31120331950207469</v>
      </c>
      <c r="N36" s="302">
        <f t="shared" ref="N36:N37" si="25">N15/J15-1</f>
        <v>-0.2095588235294118</v>
      </c>
      <c r="O36" s="302">
        <f t="shared" ref="O36:O37" si="26">O15/K15-1</f>
        <v>-0.29767441860465116</v>
      </c>
      <c r="P36" s="302">
        <f t="shared" ref="P36:S37" si="27">P15/L15-1</f>
        <v>-0.18461538461538463</v>
      </c>
      <c r="Q36" s="302">
        <f t="shared" si="27"/>
        <v>-0.3012048192771084</v>
      </c>
      <c r="R36" s="302">
        <f t="shared" si="27"/>
        <v>-0.34883720930232553</v>
      </c>
      <c r="S36" s="302">
        <f t="shared" si="27"/>
        <v>3.3112582781456901E-2</v>
      </c>
      <c r="Z36" s="297">
        <f t="shared" ref="Z36:AD37" si="28">Z15/Y15-1</f>
        <v>-6.1499578770008445E-2</v>
      </c>
      <c r="AA36" s="297">
        <f t="shared" si="28"/>
        <v>-0.27019748653500897</v>
      </c>
      <c r="AB36" s="297">
        <f t="shared" si="28"/>
        <v>-0.17097170971709719</v>
      </c>
      <c r="AC36" s="297"/>
      <c r="AD36" s="297">
        <f>AD15/AB15-1</f>
        <v>0.77960973142937817</v>
      </c>
      <c r="AE36" s="297"/>
    </row>
    <row r="37" spans="2:33" x14ac:dyDescent="0.3">
      <c r="B37" s="274" t="s">
        <v>106</v>
      </c>
      <c r="D37" s="282"/>
      <c r="E37" s="282"/>
      <c r="F37" s="302"/>
      <c r="G37" s="302"/>
      <c r="H37" s="302">
        <f t="shared" si="19"/>
        <v>-8.363636363636362E-2</v>
      </c>
      <c r="I37" s="302">
        <f t="shared" si="20"/>
        <v>-6.658595641646492E-2</v>
      </c>
      <c r="J37" s="302">
        <f t="shared" si="21"/>
        <v>4.1251778093883251E-2</v>
      </c>
      <c r="K37" s="302">
        <f t="shared" si="22"/>
        <v>0.65970149253731347</v>
      </c>
      <c r="L37" s="302">
        <f t="shared" si="23"/>
        <v>0.11375661375661372</v>
      </c>
      <c r="M37" s="302">
        <f t="shared" si="24"/>
        <v>8.4306095979247653E-2</v>
      </c>
      <c r="N37" s="302">
        <f t="shared" si="25"/>
        <v>-2.4590163934426257E-2</v>
      </c>
      <c r="O37" s="302">
        <f t="shared" si="26"/>
        <v>0.3579136690647482</v>
      </c>
      <c r="P37" s="302">
        <f t="shared" si="27"/>
        <v>0.11401425178147262</v>
      </c>
      <c r="Q37" s="302">
        <f t="shared" si="27"/>
        <v>0.1124401913875599</v>
      </c>
      <c r="R37" s="302">
        <f t="shared" si="27"/>
        <v>0.27170868347338928</v>
      </c>
      <c r="S37" s="302">
        <f t="shared" si="27"/>
        <v>-0.10993377483443711</v>
      </c>
      <c r="Z37" s="297">
        <f t="shared" si="28"/>
        <v>4.6857567869096339E-2</v>
      </c>
      <c r="AA37" s="297">
        <f t="shared" si="28"/>
        <v>0.11793960923623437</v>
      </c>
      <c r="AB37" s="297">
        <f t="shared" si="28"/>
        <v>9.56466476008897E-2</v>
      </c>
      <c r="AC37" s="297"/>
      <c r="AD37" s="297">
        <f>AD16/AB16-1</f>
        <v>-0.10177584805159268</v>
      </c>
      <c r="AE37" s="297"/>
    </row>
    <row r="39" spans="2:33" x14ac:dyDescent="0.3">
      <c r="B39" s="282" t="s">
        <v>403</v>
      </c>
      <c r="C39" s="282"/>
    </row>
    <row r="47" spans="2:33" x14ac:dyDescent="0.3">
      <c r="B47" s="274" t="s">
        <v>388</v>
      </c>
      <c r="H47" s="289">
        <f>H19/D19-1</f>
        <v>-2.5316455696202445E-2</v>
      </c>
      <c r="I47" s="289">
        <f t="shared" ref="I47:K47" si="29">I19/E19-1</f>
        <v>1.4893617021276562E-2</v>
      </c>
      <c r="J47" s="289">
        <f t="shared" si="29"/>
        <v>1.5021459227467782E-2</v>
      </c>
      <c r="K47" s="289">
        <f t="shared" si="29"/>
        <v>4.1394335511982572E-2</v>
      </c>
      <c r="L47" s="289">
        <f t="shared" ref="L47:S49" si="30">L19/H19-1</f>
        <v>1.5151515151515138E-2</v>
      </c>
      <c r="M47" s="289">
        <f t="shared" si="30"/>
        <v>-1.4675052410901501E-2</v>
      </c>
      <c r="N47" s="289">
        <f t="shared" si="30"/>
        <v>-1.2684989429175397E-2</v>
      </c>
      <c r="O47" s="289">
        <f t="shared" si="30"/>
        <v>-4.1841004184100417E-2</v>
      </c>
      <c r="P47" s="289">
        <f t="shared" si="30"/>
        <v>-4.6908315565031944E-2</v>
      </c>
      <c r="Q47" s="289">
        <f t="shared" si="30"/>
        <v>-4.8936170212765862E-2</v>
      </c>
      <c r="R47" s="289">
        <f t="shared" si="30"/>
        <v>-5.3533190578158418E-2</v>
      </c>
      <c r="S47" s="289">
        <f t="shared" si="30"/>
        <v>-2.8384279475982432E-2</v>
      </c>
    </row>
    <row r="48" spans="2:33" x14ac:dyDescent="0.3">
      <c r="B48" s="274" t="s">
        <v>155</v>
      </c>
      <c r="H48" s="289">
        <f>H20/D20-1</f>
        <v>-4.4303797468354444E-2</v>
      </c>
      <c r="I48" s="289">
        <f t="shared" ref="I48:K48" si="31">I20/E20-1</f>
        <v>2.5806451612903292E-2</v>
      </c>
      <c r="J48" s="289">
        <f t="shared" si="31"/>
        <v>2.6229508196721429E-2</v>
      </c>
      <c r="K48" s="289">
        <f t="shared" si="31"/>
        <v>7.0707070707070718E-2</v>
      </c>
      <c r="L48" s="289">
        <f t="shared" si="30"/>
        <v>1.655629139072845E-2</v>
      </c>
      <c r="M48" s="289">
        <f t="shared" si="30"/>
        <v>-3.1446540880503138E-2</v>
      </c>
      <c r="N48" s="289">
        <f t="shared" si="30"/>
        <v>-1.9169329073482455E-2</v>
      </c>
      <c r="O48" s="289">
        <f t="shared" si="30"/>
        <v>-6.9182389937106903E-2</v>
      </c>
      <c r="P48" s="289">
        <f t="shared" si="30"/>
        <v>-6.514657980456029E-2</v>
      </c>
      <c r="Q48" s="289">
        <f t="shared" si="30"/>
        <v>-6.1688311688311792E-2</v>
      </c>
      <c r="R48" s="289">
        <f t="shared" si="30"/>
        <v>-7.4918566775244333E-2</v>
      </c>
      <c r="S48" s="289">
        <f t="shared" si="30"/>
        <v>-5.0675675675675658E-2</v>
      </c>
    </row>
    <row r="49" spans="2:28" x14ac:dyDescent="0.3">
      <c r="B49" s="274" t="s">
        <v>156</v>
      </c>
      <c r="H49" s="289">
        <f>H21/D21-1</f>
        <v>-4.6052631578947345E-2</v>
      </c>
      <c r="I49" s="289">
        <f t="shared" ref="I49:K49" si="32">I21/E21-1</f>
        <v>-3.5809018567639295E-2</v>
      </c>
      <c r="J49" s="289">
        <f t="shared" si="32"/>
        <v>-2.9333333333333322E-2</v>
      </c>
      <c r="K49" s="289">
        <f t="shared" si="32"/>
        <v>-9.5367847411444995E-3</v>
      </c>
      <c r="L49" s="289">
        <f t="shared" si="30"/>
        <v>-1.6551724137931045E-2</v>
      </c>
      <c r="M49" s="289">
        <f t="shared" si="30"/>
        <v>-2.3383768913342595E-2</v>
      </c>
      <c r="N49" s="289">
        <f t="shared" si="30"/>
        <v>-3.5714285714285587E-2</v>
      </c>
      <c r="O49" s="289">
        <f t="shared" si="30"/>
        <v>-3.9889958734525499E-2</v>
      </c>
      <c r="P49" s="289">
        <f t="shared" si="30"/>
        <v>-4.2075736325385749E-2</v>
      </c>
      <c r="Q49" s="289">
        <f t="shared" si="30"/>
        <v>-4.9295774647887369E-2</v>
      </c>
      <c r="R49" s="289">
        <f t="shared" si="30"/>
        <v>-4.5584045584045607E-2</v>
      </c>
      <c r="S49" s="289">
        <f t="shared" si="30"/>
        <v>-3.1518624641833859E-2</v>
      </c>
    </row>
    <row r="51" spans="2:28" x14ac:dyDescent="0.3">
      <c r="B51" s="282" t="s">
        <v>389</v>
      </c>
      <c r="C51" s="282"/>
      <c r="H51" s="289">
        <f>H23/D23-1</f>
        <v>3.9574355817431073E-3</v>
      </c>
      <c r="I51" s="289">
        <f t="shared" ref="I51:K51" si="33">I23/E23-1</f>
        <v>4.6985121378231298E-3</v>
      </c>
      <c r="J51" s="289">
        <f t="shared" si="33"/>
        <v>1.9666113102001503E-2</v>
      </c>
      <c r="K51" s="289">
        <f t="shared" si="33"/>
        <v>1.0328800137717309E-2</v>
      </c>
      <c r="L51" s="289">
        <f t="shared" ref="L51:S53" si="34">L23/H23-1</f>
        <v>3.267344078486345E-2</v>
      </c>
      <c r="M51" s="289">
        <f t="shared" si="34"/>
        <v>1.7840131635922685E-2</v>
      </c>
      <c r="N51" s="289">
        <f t="shared" si="34"/>
        <v>2.9487399279958915E-2</v>
      </c>
      <c r="O51" s="289">
        <f t="shared" si="34"/>
        <v>6.5854489691600016E-2</v>
      </c>
      <c r="P51" s="289">
        <f t="shared" si="34"/>
        <v>5.437272033251328E-2</v>
      </c>
      <c r="Q51" s="289">
        <f t="shared" si="34"/>
        <v>7.4278907512975501E-2</v>
      </c>
      <c r="R51" s="289">
        <f t="shared" si="34"/>
        <v>6.053288925895095E-2</v>
      </c>
      <c r="S51" s="289">
        <f t="shared" si="34"/>
        <v>2.5177843497721897E-2</v>
      </c>
    </row>
    <row r="52" spans="2:28" x14ac:dyDescent="0.3">
      <c r="B52" s="274" t="s">
        <v>390</v>
      </c>
      <c r="H52" s="289">
        <f>H24/D24-1</f>
        <v>-3.7067209775967447E-2</v>
      </c>
      <c r="I52" s="289">
        <f t="shared" ref="I52:K52" si="35">I24/E24-1</f>
        <v>-2.8668478260869601E-2</v>
      </c>
      <c r="J52" s="289">
        <f t="shared" si="35"/>
        <v>-1.9907281156258505E-2</v>
      </c>
      <c r="K52" s="289">
        <f t="shared" si="35"/>
        <v>-2.88082619921185E-2</v>
      </c>
      <c r="L52" s="289">
        <f t="shared" si="34"/>
        <v>4.7941342357586958E-3</v>
      </c>
      <c r="M52" s="289">
        <f t="shared" si="34"/>
        <v>-1.6365925304238305E-2</v>
      </c>
      <c r="N52" s="289">
        <f t="shared" si="34"/>
        <v>-4.1736227045074958E-4</v>
      </c>
      <c r="O52" s="289">
        <f t="shared" si="34"/>
        <v>6.1844130404365538E-2</v>
      </c>
      <c r="P52" s="289">
        <f t="shared" si="34"/>
        <v>3.8029750210496704E-2</v>
      </c>
      <c r="Q52" s="289">
        <f t="shared" si="34"/>
        <v>6.6126279863481185E-2</v>
      </c>
      <c r="R52" s="289">
        <f t="shared" si="34"/>
        <v>4.3006263048016802E-2</v>
      </c>
      <c r="S52" s="289">
        <f t="shared" si="34"/>
        <v>-1.9897219660034215E-2</v>
      </c>
    </row>
    <row r="53" spans="2:28" x14ac:dyDescent="0.3">
      <c r="B53" s="274" t="s">
        <v>391</v>
      </c>
      <c r="H53" s="289">
        <f>H25/D25-1</f>
        <v>7.9380928607089452E-2</v>
      </c>
      <c r="I53" s="289">
        <f t="shared" ref="I53:K53" si="36">I25/E25-1</f>
        <v>6.4118074038229E-2</v>
      </c>
      <c r="J53" s="289">
        <f t="shared" si="36"/>
        <v>9.0333576820063266E-2</v>
      </c>
      <c r="K53" s="289">
        <f t="shared" si="36"/>
        <v>7.7952571026062456E-2</v>
      </c>
      <c r="L53" s="289">
        <f t="shared" si="34"/>
        <v>7.8399629972247808E-2</v>
      </c>
      <c r="M53" s="289">
        <f t="shared" si="34"/>
        <v>7.3442473851750734E-2</v>
      </c>
      <c r="N53" s="289">
        <f t="shared" si="34"/>
        <v>7.7489950870924584E-2</v>
      </c>
      <c r="O53" s="289">
        <f t="shared" si="34"/>
        <v>7.2097582226094525E-2</v>
      </c>
      <c r="P53" s="289">
        <f t="shared" si="34"/>
        <v>7.9348059189363163E-2</v>
      </c>
      <c r="Q53" s="289">
        <f t="shared" si="34"/>
        <v>8.6422368142342831E-2</v>
      </c>
      <c r="R53" s="289">
        <f t="shared" si="34"/>
        <v>8.6632124352331585E-2</v>
      </c>
      <c r="S53" s="289">
        <f t="shared" si="34"/>
        <v>9.4676960585128089E-2</v>
      </c>
    </row>
    <row r="55" spans="2:28" x14ac:dyDescent="0.3">
      <c r="B55" s="282" t="s">
        <v>393</v>
      </c>
      <c r="C55" s="282"/>
    </row>
    <row r="56" spans="2:28" x14ac:dyDescent="0.3">
      <c r="B56" s="274" t="s">
        <v>390</v>
      </c>
      <c r="D56" s="289">
        <f>D24/D23</f>
        <v>0.64770029021194264</v>
      </c>
      <c r="E56" s="289">
        <f t="shared" ref="E56:G56" si="37">E24/E23</f>
        <v>0.64038980248847122</v>
      </c>
      <c r="F56" s="289">
        <f t="shared" si="37"/>
        <v>0.64102788217813134</v>
      </c>
      <c r="G56" s="289">
        <f t="shared" si="37"/>
        <v>0.63341366844551561</v>
      </c>
      <c r="H56" s="289">
        <f>H24/H23</f>
        <v>0.62123335669236157</v>
      </c>
      <c r="I56" s="289">
        <f t="shared" ref="I56:K56" si="38">I24/I23</f>
        <v>0.61912184983112495</v>
      </c>
      <c r="J56" s="289">
        <f t="shared" si="38"/>
        <v>0.61614949425681464</v>
      </c>
      <c r="K56" s="289">
        <f t="shared" si="38"/>
        <v>0.60887715113307206</v>
      </c>
      <c r="L56" s="289">
        <f t="shared" ref="L56:Q56" si="39">L24/L23</f>
        <v>0.60446178641106119</v>
      </c>
      <c r="M56" s="289">
        <f t="shared" si="39"/>
        <v>0.59831532374712837</v>
      </c>
      <c r="N56" s="289">
        <f t="shared" si="39"/>
        <v>0.59825145711906746</v>
      </c>
      <c r="O56" s="289">
        <f t="shared" si="39"/>
        <v>0.60658620414035647</v>
      </c>
      <c r="P56" s="289">
        <f t="shared" si="39"/>
        <v>0.59509251810136765</v>
      </c>
      <c r="Q56" s="289">
        <f t="shared" si="39"/>
        <v>0.59377475051481066</v>
      </c>
      <c r="R56" s="289">
        <f t="shared" ref="R56:S56" si="40">R24/R23</f>
        <v>0.58836460705032578</v>
      </c>
      <c r="S56" s="289">
        <f t="shared" si="40"/>
        <v>0.57991579603929522</v>
      </c>
    </row>
    <row r="57" spans="2:28" x14ac:dyDescent="0.3">
      <c r="B57" s="274" t="s">
        <v>391</v>
      </c>
      <c r="D57" s="289">
        <f>1-D56</f>
        <v>0.35229970978805736</v>
      </c>
      <c r="E57" s="289">
        <f t="shared" ref="E57:G57" si="41">1-E56</f>
        <v>0.35961019751152878</v>
      </c>
      <c r="F57" s="289">
        <f t="shared" si="41"/>
        <v>0.35897211782186866</v>
      </c>
      <c r="G57" s="289">
        <f t="shared" si="41"/>
        <v>0.36658633155448439</v>
      </c>
      <c r="H57" s="289">
        <f>1-H56</f>
        <v>0.37876664330763843</v>
      </c>
      <c r="I57" s="289">
        <f t="shared" ref="I57:K57" si="42">1-I56</f>
        <v>0.38087815016887505</v>
      </c>
      <c r="J57" s="289">
        <f t="shared" si="42"/>
        <v>0.38385050574318536</v>
      </c>
      <c r="K57" s="289">
        <f t="shared" si="42"/>
        <v>0.39112284886692794</v>
      </c>
      <c r="L57" s="289">
        <f t="shared" ref="L57:R57" si="43">1-L56</f>
        <v>0.39553821358893881</v>
      </c>
      <c r="M57" s="289">
        <f t="shared" si="43"/>
        <v>0.40168467625287163</v>
      </c>
      <c r="N57" s="289">
        <f t="shared" si="43"/>
        <v>0.40174854288093254</v>
      </c>
      <c r="O57" s="289">
        <f t="shared" si="43"/>
        <v>0.39341379585964353</v>
      </c>
      <c r="P57" s="289">
        <f t="shared" si="43"/>
        <v>0.40490748189863235</v>
      </c>
      <c r="Q57" s="289">
        <f t="shared" si="43"/>
        <v>0.40622524948518934</v>
      </c>
      <c r="R57" s="289">
        <f t="shared" si="43"/>
        <v>0.41163539294967422</v>
      </c>
      <c r="S57" s="289">
        <f t="shared" ref="S57" si="44">1-S56</f>
        <v>0.42008420396070478</v>
      </c>
    </row>
    <row r="59" spans="2:28" x14ac:dyDescent="0.3">
      <c r="B59" s="286" t="s">
        <v>394</v>
      </c>
      <c r="C59" s="286"/>
      <c r="D59" s="288"/>
      <c r="E59" s="288"/>
      <c r="F59" s="288"/>
      <c r="G59" s="288"/>
      <c r="H59" s="288"/>
      <c r="I59" s="288"/>
      <c r="J59" s="288"/>
      <c r="K59" s="288"/>
      <c r="L59" s="288"/>
      <c r="M59" s="288"/>
      <c r="N59" s="288"/>
      <c r="O59" s="288"/>
      <c r="P59" s="288"/>
      <c r="Q59" s="288"/>
      <c r="R59" s="288"/>
      <c r="S59" s="288"/>
    </row>
    <row r="61" spans="2:28" x14ac:dyDescent="0.3">
      <c r="B61" s="282" t="s">
        <v>410</v>
      </c>
      <c r="C61" s="282"/>
    </row>
    <row r="62" spans="2:28" x14ac:dyDescent="0.3">
      <c r="B62" s="274" t="s">
        <v>145</v>
      </c>
      <c r="D62" s="289">
        <f>D6/D$12</f>
        <v>0.33392857142857141</v>
      </c>
      <c r="E62" s="289">
        <f t="shared" ref="E62:P62" si="45">E6/E$12</f>
        <v>0.33685136323658749</v>
      </c>
      <c r="F62" s="289">
        <f t="shared" si="45"/>
        <v>0.34478203434610305</v>
      </c>
      <c r="G62" s="289">
        <f t="shared" si="45"/>
        <v>0.31188925081433228</v>
      </c>
      <c r="H62" s="289">
        <f t="shared" si="45"/>
        <v>0.3262676641729011</v>
      </c>
      <c r="I62" s="289">
        <f t="shared" si="45"/>
        <v>0.33415841584158418</v>
      </c>
      <c r="J62" s="289">
        <f t="shared" si="45"/>
        <v>0.34511434511434513</v>
      </c>
      <c r="K62" s="289">
        <f t="shared" si="45"/>
        <v>0.33281127642913078</v>
      </c>
      <c r="L62" s="289">
        <f t="shared" si="45"/>
        <v>0.34204275534441803</v>
      </c>
      <c r="M62" s="289">
        <f t="shared" si="45"/>
        <v>0.35263157894736841</v>
      </c>
      <c r="N62" s="289">
        <f t="shared" si="45"/>
        <v>0.36117936117936117</v>
      </c>
      <c r="O62" s="289">
        <f t="shared" si="45"/>
        <v>0.32932166301969368</v>
      </c>
      <c r="P62" s="289">
        <f t="shared" si="45"/>
        <v>0.34998079139454474</v>
      </c>
      <c r="Q62" s="289">
        <f t="shared" ref="Q62:R62" si="46">Q6/Q$12</f>
        <v>0.35421500386697602</v>
      </c>
      <c r="R62" s="289">
        <f t="shared" si="46"/>
        <v>0.359083850931677</v>
      </c>
      <c r="S62" s="289">
        <f t="shared" ref="S62" si="47">S6/S$12</f>
        <v>0.34211476001443525</v>
      </c>
      <c r="Z62" s="289">
        <f t="shared" ref="Z62:AB66" si="48">Z6/Z$12</f>
        <v>0.33455919910103177</v>
      </c>
      <c r="AA62" s="289">
        <f t="shared" si="48"/>
        <v>0.34577603143418467</v>
      </c>
      <c r="AB62" s="289">
        <f t="shared" si="48"/>
        <v>0.35117691723614275</v>
      </c>
    </row>
    <row r="63" spans="2:28" x14ac:dyDescent="0.3">
      <c r="B63" s="274" t="s">
        <v>144</v>
      </c>
      <c r="D63" s="289">
        <f>D7/D$12</f>
        <v>0.3080357142857143</v>
      </c>
      <c r="E63" s="289">
        <f t="shared" ref="E63:P63" si="49">E7/E$12</f>
        <v>0.30123131046613894</v>
      </c>
      <c r="F63" s="289">
        <f t="shared" si="49"/>
        <v>0.30162923822104798</v>
      </c>
      <c r="G63" s="289">
        <f t="shared" si="49"/>
        <v>0.26669381107491857</v>
      </c>
      <c r="H63" s="289">
        <f t="shared" si="49"/>
        <v>0.27306733167082292</v>
      </c>
      <c r="I63" s="289">
        <f t="shared" si="49"/>
        <v>0.28011551155115511</v>
      </c>
      <c r="J63" s="289">
        <f t="shared" si="49"/>
        <v>0.2810810810810811</v>
      </c>
      <c r="K63" s="289">
        <f t="shared" si="49"/>
        <v>0.26664056382145651</v>
      </c>
      <c r="L63" s="289">
        <f t="shared" si="49"/>
        <v>0.26167854315122724</v>
      </c>
      <c r="M63" s="289">
        <f t="shared" si="49"/>
        <v>0.26356275303643723</v>
      </c>
      <c r="N63" s="289">
        <f t="shared" si="49"/>
        <v>0.26699426699426698</v>
      </c>
      <c r="O63" s="289">
        <f t="shared" si="49"/>
        <v>0.2388767323121809</v>
      </c>
      <c r="P63" s="289">
        <f t="shared" si="49"/>
        <v>0.24932769880906647</v>
      </c>
      <c r="Q63" s="289">
        <f t="shared" ref="Q63:R63" si="50">Q7/Q$12</f>
        <v>0.25058004640371229</v>
      </c>
      <c r="R63" s="289">
        <f t="shared" si="50"/>
        <v>0.24883540372670807</v>
      </c>
      <c r="S63" s="289">
        <f t="shared" ref="S63" si="51">S7/S$12</f>
        <v>0.22627210393359798</v>
      </c>
      <c r="Z63" s="289">
        <f t="shared" si="48"/>
        <v>0.27510470936765757</v>
      </c>
      <c r="AA63" s="289">
        <f t="shared" si="48"/>
        <v>0.25726915520628685</v>
      </c>
      <c r="AB63" s="289">
        <f t="shared" si="48"/>
        <v>0.2434510250569476</v>
      </c>
    </row>
    <row r="64" spans="2:28" s="282" customFormat="1" x14ac:dyDescent="0.3">
      <c r="B64" s="282" t="s">
        <v>383</v>
      </c>
      <c r="D64" s="290">
        <f>D8/D$12</f>
        <v>0.64196428571428577</v>
      </c>
      <c r="E64" s="290">
        <f t="shared" ref="E64:P64" si="52">E8/E$12</f>
        <v>0.63808267370272642</v>
      </c>
      <c r="F64" s="290">
        <f t="shared" si="52"/>
        <v>0.64641127256715103</v>
      </c>
      <c r="G64" s="290">
        <f t="shared" si="52"/>
        <v>0.57858306188925079</v>
      </c>
      <c r="H64" s="290">
        <f t="shared" si="52"/>
        <v>0.59933499584372407</v>
      </c>
      <c r="I64" s="290">
        <f t="shared" si="52"/>
        <v>0.61427392739273923</v>
      </c>
      <c r="J64" s="290">
        <f t="shared" si="52"/>
        <v>0.62619542619542623</v>
      </c>
      <c r="K64" s="290">
        <f t="shared" si="52"/>
        <v>0.59945184025058729</v>
      </c>
      <c r="L64" s="290">
        <f t="shared" si="52"/>
        <v>0.60372129849564526</v>
      </c>
      <c r="M64" s="290">
        <f t="shared" si="52"/>
        <v>0.61619433198380569</v>
      </c>
      <c r="N64" s="290">
        <f t="shared" si="52"/>
        <v>0.62817362817362821</v>
      </c>
      <c r="O64" s="290">
        <f t="shared" si="52"/>
        <v>0.56819839533187455</v>
      </c>
      <c r="P64" s="290">
        <f t="shared" si="52"/>
        <v>0.59930849020361121</v>
      </c>
      <c r="Q64" s="290">
        <f t="shared" ref="Q64:R64" si="53">Q8/Q$12</f>
        <v>0.60479505027068836</v>
      </c>
      <c r="R64" s="290">
        <f t="shared" si="53"/>
        <v>0.60791925465838514</v>
      </c>
      <c r="S64" s="290">
        <f t="shared" ref="S64" si="54">S8/S$12</f>
        <v>0.56838686394803317</v>
      </c>
      <c r="Z64" s="290">
        <f t="shared" si="48"/>
        <v>0.60966390846868934</v>
      </c>
      <c r="AA64" s="290">
        <f t="shared" si="48"/>
        <v>0.60304518664047146</v>
      </c>
      <c r="AB64" s="290">
        <f t="shared" si="48"/>
        <v>0.59462794229309035</v>
      </c>
    </row>
    <row r="65" spans="2:28" x14ac:dyDescent="0.3">
      <c r="B65" s="274" t="s">
        <v>349</v>
      </c>
      <c r="D65" s="289">
        <f>D9/D$12</f>
        <v>7.3660714285714288E-2</v>
      </c>
      <c r="E65" s="289">
        <f t="shared" ref="E65:P65" si="55">E9/E$12</f>
        <v>7.6956904133685139E-2</v>
      </c>
      <c r="F65" s="289">
        <f t="shared" si="55"/>
        <v>8.1461911052399819E-2</v>
      </c>
      <c r="G65" s="289">
        <f t="shared" si="55"/>
        <v>7.9804560260586313E-2</v>
      </c>
      <c r="H65" s="289">
        <f t="shared" si="55"/>
        <v>8.3125519534497094E-2</v>
      </c>
      <c r="I65" s="289">
        <f t="shared" si="55"/>
        <v>8.6221122112211224E-2</v>
      </c>
      <c r="J65" s="289">
        <f t="shared" si="55"/>
        <v>8.9397089397089402E-2</v>
      </c>
      <c r="K65" s="289">
        <f t="shared" si="55"/>
        <v>8.5747846515270162E-2</v>
      </c>
      <c r="L65" s="289">
        <f t="shared" si="55"/>
        <v>8.7885985748218529E-2</v>
      </c>
      <c r="M65" s="289">
        <f t="shared" si="55"/>
        <v>9.2712550607287447E-2</v>
      </c>
      <c r="N65" s="289">
        <f t="shared" si="55"/>
        <v>9.45945945945946E-2</v>
      </c>
      <c r="O65" s="289">
        <f t="shared" si="55"/>
        <v>8.8621444201312904E-2</v>
      </c>
      <c r="P65" s="289">
        <f t="shared" si="55"/>
        <v>9.3737994621590479E-2</v>
      </c>
      <c r="Q65" s="289">
        <f t="shared" ref="Q65:R65" si="56">Q9/Q$12</f>
        <v>9.7061098221191022E-2</v>
      </c>
      <c r="R65" s="289">
        <f t="shared" si="56"/>
        <v>9.7437888198757761E-2</v>
      </c>
      <c r="S65" s="289">
        <f t="shared" ref="S65" si="57">S9/S$12</f>
        <v>8.9137495488993149E-2</v>
      </c>
      <c r="Z65" s="289">
        <f t="shared" si="48"/>
        <v>8.61170701808152E-2</v>
      </c>
      <c r="AA65" s="289">
        <f t="shared" si="48"/>
        <v>9.0864440078585462E-2</v>
      </c>
      <c r="AB65" s="289">
        <f t="shared" si="48"/>
        <v>9.4248291571753989E-2</v>
      </c>
    </row>
    <row r="66" spans="2:28" x14ac:dyDescent="0.3">
      <c r="B66" s="274" t="s">
        <v>384</v>
      </c>
      <c r="D66" s="289">
        <f>D10/D$12</f>
        <v>0.16428571428571428</v>
      </c>
      <c r="E66" s="289">
        <f t="shared" ref="E66:P66" si="58">E10/E$12</f>
        <v>0.16314863676341249</v>
      </c>
      <c r="F66" s="289">
        <f t="shared" si="58"/>
        <v>0.16732716864817263</v>
      </c>
      <c r="G66" s="289">
        <f t="shared" si="58"/>
        <v>0.16245928338762214</v>
      </c>
      <c r="H66" s="289">
        <f t="shared" si="58"/>
        <v>0.16126350789692437</v>
      </c>
      <c r="I66" s="289">
        <f t="shared" si="58"/>
        <v>0.15924092409240925</v>
      </c>
      <c r="J66" s="289">
        <f t="shared" si="58"/>
        <v>0.16091476091476092</v>
      </c>
      <c r="K66" s="289">
        <f t="shared" si="58"/>
        <v>0.14252153484729835</v>
      </c>
      <c r="L66" s="289">
        <f t="shared" si="58"/>
        <v>0.14449722882026919</v>
      </c>
      <c r="M66" s="289">
        <f t="shared" si="58"/>
        <v>0.1465587044534413</v>
      </c>
      <c r="N66" s="289">
        <f t="shared" si="58"/>
        <v>0.15561015561015562</v>
      </c>
      <c r="O66" s="289">
        <f t="shared" si="58"/>
        <v>0.1462436177972283</v>
      </c>
      <c r="P66" s="289">
        <f t="shared" si="58"/>
        <v>0.14867460622358816</v>
      </c>
      <c r="Q66" s="289">
        <f t="shared" ref="Q66:R66" si="59">Q10/Q$12</f>
        <v>0.15506573859242073</v>
      </c>
      <c r="R66" s="289">
        <f t="shared" si="59"/>
        <v>0.15372670807453417</v>
      </c>
      <c r="S66" s="289">
        <f t="shared" ref="S66" si="60">S10/S$12</f>
        <v>0.1537351136773728</v>
      </c>
      <c r="Z66" s="289">
        <f t="shared" si="48"/>
        <v>0.15578710797834303</v>
      </c>
      <c r="AA66" s="289">
        <f t="shared" si="48"/>
        <v>0.1481335952848723</v>
      </c>
      <c r="AB66" s="289">
        <f t="shared" si="48"/>
        <v>0.15280941533788914</v>
      </c>
    </row>
    <row r="70" spans="2:28" x14ac:dyDescent="0.3">
      <c r="B70" s="282" t="s">
        <v>395</v>
      </c>
      <c r="C70" s="282"/>
    </row>
    <row r="71" spans="2:28" x14ac:dyDescent="0.3">
      <c r="B71" s="291" t="s">
        <v>145</v>
      </c>
      <c r="C71" s="291"/>
      <c r="L71" s="289">
        <f t="shared" ref="L71:S75" si="61">(L6-H6)/H$11</f>
        <v>3.891625615763547E-2</v>
      </c>
      <c r="M71" s="289">
        <f t="shared" si="61"/>
        <v>2.927063339731286E-2</v>
      </c>
      <c r="N71" s="289">
        <f t="shared" si="61"/>
        <v>2.4667931688804556E-2</v>
      </c>
      <c r="O71" s="289">
        <f t="shared" si="61"/>
        <v>2.5070955534531692E-2</v>
      </c>
      <c r="P71" s="289">
        <f t="shared" si="61"/>
        <v>2.225378787878788E-2</v>
      </c>
      <c r="Q71" s="289">
        <f t="shared" si="61"/>
        <v>2.1296734500709891E-2</v>
      </c>
      <c r="R71" s="289">
        <f t="shared" si="61"/>
        <v>2.0046620046620046E-2</v>
      </c>
      <c r="S71" s="289">
        <f t="shared" si="61"/>
        <v>2.0435967302452316E-2</v>
      </c>
    </row>
    <row r="72" spans="2:28" x14ac:dyDescent="0.3">
      <c r="B72" s="291" t="s">
        <v>144</v>
      </c>
      <c r="C72" s="291"/>
      <c r="L72" s="289">
        <f t="shared" si="61"/>
        <v>1.9704433497536944E-3</v>
      </c>
      <c r="M72" s="289">
        <f t="shared" si="61"/>
        <v>-1.3435700575815739E-2</v>
      </c>
      <c r="N72" s="289">
        <f t="shared" si="61"/>
        <v>-1.1385199240986717E-2</v>
      </c>
      <c r="O72" s="289">
        <f t="shared" si="61"/>
        <v>-1.2298959318826869E-2</v>
      </c>
      <c r="P72" s="289">
        <f t="shared" si="61"/>
        <v>-5.681818181818182E-3</v>
      </c>
      <c r="Q72" s="289">
        <f t="shared" si="61"/>
        <v>-1.419782300047326E-3</v>
      </c>
      <c r="R72" s="289">
        <f t="shared" si="61"/>
        <v>-5.1282051282051282E-3</v>
      </c>
      <c r="S72" s="289">
        <f t="shared" si="61"/>
        <v>-1.2715712988192553E-2</v>
      </c>
    </row>
    <row r="73" spans="2:28" s="282" customFormat="1" x14ac:dyDescent="0.3">
      <c r="B73" s="282" t="s">
        <v>383</v>
      </c>
      <c r="L73" s="290">
        <f t="shared" si="61"/>
        <v>4.0886699507389164E-2</v>
      </c>
      <c r="M73" s="290">
        <f t="shared" si="61"/>
        <v>1.583493282149712E-2</v>
      </c>
      <c r="N73" s="290">
        <f t="shared" si="61"/>
        <v>1.3282732447817837E-2</v>
      </c>
      <c r="O73" s="290">
        <f t="shared" si="61"/>
        <v>1.2771996215704825E-2</v>
      </c>
      <c r="P73" s="290">
        <f t="shared" si="61"/>
        <v>1.6571969696969696E-2</v>
      </c>
      <c r="Q73" s="290">
        <f t="shared" si="61"/>
        <v>1.9876952200662566E-2</v>
      </c>
      <c r="R73" s="290">
        <f t="shared" si="61"/>
        <v>1.4918414918414918E-2</v>
      </c>
      <c r="S73" s="290">
        <f t="shared" si="61"/>
        <v>7.7202543142597642E-3</v>
      </c>
    </row>
    <row r="74" spans="2:28" x14ac:dyDescent="0.3">
      <c r="B74" s="274" t="s">
        <v>349</v>
      </c>
      <c r="L74" s="289">
        <f t="shared" si="61"/>
        <v>1.083743842364532E-2</v>
      </c>
      <c r="M74" s="289">
        <f t="shared" si="61"/>
        <v>9.5969289827255271E-3</v>
      </c>
      <c r="N74" s="289">
        <f t="shared" si="61"/>
        <v>7.5901328273244783E-3</v>
      </c>
      <c r="O74" s="289">
        <f t="shared" si="61"/>
        <v>1.1352885525070956E-2</v>
      </c>
      <c r="P74" s="289">
        <f t="shared" si="61"/>
        <v>1.0416666666666666E-2</v>
      </c>
      <c r="Q74" s="289">
        <f t="shared" si="61"/>
        <v>1.0411736867013724E-2</v>
      </c>
      <c r="R74" s="289">
        <f t="shared" si="61"/>
        <v>9.324009324009324E-3</v>
      </c>
      <c r="S74" s="289">
        <f t="shared" si="61"/>
        <v>1.8165304268846503E-3</v>
      </c>
    </row>
    <row r="75" spans="2:28" x14ac:dyDescent="0.3">
      <c r="B75" s="274" t="s">
        <v>384</v>
      </c>
      <c r="L75" s="289">
        <f t="shared" si="61"/>
        <v>-1.1330049261083743E-2</v>
      </c>
      <c r="M75" s="289">
        <f t="shared" si="61"/>
        <v>-1.1516314779270634E-2</v>
      </c>
      <c r="N75" s="289">
        <f t="shared" si="61"/>
        <v>-3.3206831119544592E-3</v>
      </c>
      <c r="O75" s="289">
        <f t="shared" si="61"/>
        <v>1.7502365184484388E-2</v>
      </c>
      <c r="P75" s="289">
        <f t="shared" si="61"/>
        <v>1.0416666666666666E-2</v>
      </c>
      <c r="Q75" s="289">
        <f t="shared" si="61"/>
        <v>1.8457169900615238E-2</v>
      </c>
      <c r="R75" s="289">
        <f t="shared" si="61"/>
        <v>7.4592074592074592E-3</v>
      </c>
      <c r="S75" s="289">
        <f t="shared" si="61"/>
        <v>1.1353315168029064E-2</v>
      </c>
    </row>
    <row r="76" spans="2:28" x14ac:dyDescent="0.3">
      <c r="B76" s="284" t="s">
        <v>422</v>
      </c>
      <c r="C76" s="316"/>
      <c r="D76" s="316"/>
      <c r="E76" s="316"/>
      <c r="F76" s="316"/>
      <c r="G76" s="316"/>
      <c r="H76" s="316"/>
      <c r="I76" s="316"/>
      <c r="J76" s="316"/>
      <c r="K76" s="316"/>
      <c r="L76" s="317">
        <f>L33</f>
        <v>4.0394088669950756E-2</v>
      </c>
      <c r="M76" s="317">
        <f t="shared" ref="M76:O76" si="62">M33</f>
        <v>1.3915547024952124E-2</v>
      </c>
      <c r="N76" s="317">
        <f t="shared" si="62"/>
        <v>1.7552182163187879E-2</v>
      </c>
      <c r="O76" s="317">
        <f t="shared" si="62"/>
        <v>4.1627246925260097E-2</v>
      </c>
      <c r="P76" s="317">
        <f t="shared" ref="P76:Q76" si="63">P33</f>
        <v>3.7405303030302983E-2</v>
      </c>
      <c r="Q76" s="317">
        <f t="shared" si="63"/>
        <v>4.8745858968291422E-2</v>
      </c>
      <c r="R76" s="317">
        <f t="shared" ref="R76:S76" si="64">R33</f>
        <v>3.170163170163165E-2</v>
      </c>
      <c r="S76" s="317">
        <f t="shared" si="64"/>
        <v>2.0890099909173454E-2</v>
      </c>
    </row>
  </sheetData>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13"/>
  <sheetViews>
    <sheetView zoomScale="70" zoomScaleNormal="70" workbookViewId="0">
      <pane ySplit="1" topLeftCell="A2" activePane="bottomLeft" state="frozen"/>
      <selection pane="bottomLeft" activeCell="C30" sqref="C30"/>
    </sheetView>
  </sheetViews>
  <sheetFormatPr defaultRowHeight="14.4" x14ac:dyDescent="0.3"/>
  <cols>
    <col min="1" max="1" width="10.21875" bestFit="1" customWidth="1"/>
    <col min="2" max="2" width="9.21875" customWidth="1"/>
    <col min="3" max="3" width="12.44140625" bestFit="1" customWidth="1"/>
    <col min="4" max="5" width="9.21875" customWidth="1"/>
  </cols>
  <sheetData>
    <row r="1" spans="1:7" x14ac:dyDescent="0.3">
      <c r="A1" s="14" t="s">
        <v>208</v>
      </c>
      <c r="B1" s="15" t="s">
        <v>209</v>
      </c>
      <c r="C1" s="15" t="s">
        <v>210</v>
      </c>
      <c r="D1" s="16" t="s">
        <v>211</v>
      </c>
      <c r="E1" s="17"/>
      <c r="F1" s="17"/>
      <c r="G1" s="17"/>
    </row>
    <row r="2" spans="1:7" x14ac:dyDescent="0.3">
      <c r="A2" s="18" t="s">
        <v>212</v>
      </c>
      <c r="B2" s="19">
        <v>1</v>
      </c>
      <c r="C2" s="20">
        <v>40999</v>
      </c>
      <c r="D2" s="17" t="str">
        <f>A2</f>
        <v>1Q12</v>
      </c>
      <c r="E2" s="17"/>
      <c r="F2" s="17"/>
      <c r="G2" s="17"/>
    </row>
    <row r="3" spans="1:7" x14ac:dyDescent="0.3">
      <c r="A3" s="18" t="s">
        <v>213</v>
      </c>
      <c r="B3" s="19">
        <v>2</v>
      </c>
      <c r="C3" s="20">
        <v>41090</v>
      </c>
      <c r="D3" s="17" t="str">
        <f t="shared" ref="D3:D66" si="0">A3</f>
        <v>2Q12</v>
      </c>
      <c r="E3" s="21"/>
      <c r="F3" s="21"/>
      <c r="G3" s="21"/>
    </row>
    <row r="4" spans="1:7" x14ac:dyDescent="0.3">
      <c r="A4" s="18" t="s">
        <v>214</v>
      </c>
      <c r="B4" s="19">
        <v>3</v>
      </c>
      <c r="C4" s="20">
        <v>41182</v>
      </c>
      <c r="D4" s="17" t="str">
        <f t="shared" si="0"/>
        <v>3Q12</v>
      </c>
      <c r="E4" s="21"/>
      <c r="F4" s="21"/>
      <c r="G4" s="21"/>
    </row>
    <row r="5" spans="1:7" x14ac:dyDescent="0.3">
      <c r="A5" s="18" t="s">
        <v>215</v>
      </c>
      <c r="B5" s="19">
        <v>4</v>
      </c>
      <c r="C5" s="20">
        <v>41274</v>
      </c>
      <c r="D5" s="17" t="str">
        <f t="shared" si="0"/>
        <v>4Q12</v>
      </c>
      <c r="E5" s="21"/>
      <c r="F5" s="21"/>
      <c r="G5" s="21"/>
    </row>
    <row r="6" spans="1:7" x14ac:dyDescent="0.3">
      <c r="A6" s="18" t="s">
        <v>216</v>
      </c>
      <c r="B6" s="19">
        <v>5</v>
      </c>
      <c r="C6" s="20">
        <v>41364</v>
      </c>
      <c r="D6" s="17" t="str">
        <f t="shared" si="0"/>
        <v>1Q13</v>
      </c>
      <c r="E6" s="21"/>
      <c r="F6" s="21"/>
      <c r="G6" s="21"/>
    </row>
    <row r="7" spans="1:7" x14ac:dyDescent="0.3">
      <c r="A7" s="18" t="s">
        <v>217</v>
      </c>
      <c r="B7" s="19">
        <v>6</v>
      </c>
      <c r="C7" s="20">
        <v>41455</v>
      </c>
      <c r="D7" s="17" t="str">
        <f t="shared" si="0"/>
        <v>2Q13</v>
      </c>
      <c r="E7" s="21"/>
      <c r="F7" s="17"/>
      <c r="G7" s="17"/>
    </row>
    <row r="8" spans="1:7" x14ac:dyDescent="0.3">
      <c r="A8" s="18" t="s">
        <v>218</v>
      </c>
      <c r="B8" s="19">
        <v>7</v>
      </c>
      <c r="C8" s="20">
        <v>41547</v>
      </c>
      <c r="D8" s="17" t="str">
        <f t="shared" si="0"/>
        <v>3Q13</v>
      </c>
      <c r="E8" s="21"/>
      <c r="F8" s="17"/>
      <c r="G8" s="17"/>
    </row>
    <row r="9" spans="1:7" x14ac:dyDescent="0.3">
      <c r="A9" s="18" t="s">
        <v>219</v>
      </c>
      <c r="B9" s="19">
        <v>8</v>
      </c>
      <c r="C9" s="20">
        <v>41639</v>
      </c>
      <c r="D9" s="17" t="str">
        <f t="shared" si="0"/>
        <v>4Q13</v>
      </c>
      <c r="E9" s="21"/>
    </row>
    <row r="10" spans="1:7" x14ac:dyDescent="0.3">
      <c r="A10" s="18" t="s">
        <v>220</v>
      </c>
      <c r="B10" s="19">
        <v>9</v>
      </c>
      <c r="C10" s="20">
        <v>41729</v>
      </c>
      <c r="D10" s="17" t="str">
        <f t="shared" si="0"/>
        <v>1Q14</v>
      </c>
      <c r="E10" s="21"/>
    </row>
    <row r="11" spans="1:7" x14ac:dyDescent="0.3">
      <c r="A11" s="18" t="s">
        <v>221</v>
      </c>
      <c r="B11" s="19">
        <v>10</v>
      </c>
      <c r="C11" s="20">
        <v>41820</v>
      </c>
      <c r="D11" s="17" t="str">
        <f t="shared" si="0"/>
        <v>2Q14</v>
      </c>
      <c r="E11" s="21"/>
    </row>
    <row r="12" spans="1:7" x14ac:dyDescent="0.3">
      <c r="A12" s="18" t="s">
        <v>222</v>
      </c>
      <c r="B12" s="19">
        <v>11</v>
      </c>
      <c r="C12" s="20">
        <v>41912</v>
      </c>
      <c r="D12" s="17" t="str">
        <f t="shared" si="0"/>
        <v>3Q14</v>
      </c>
      <c r="E12" s="21"/>
    </row>
    <row r="13" spans="1:7" x14ac:dyDescent="0.3">
      <c r="A13" s="18" t="s">
        <v>223</v>
      </c>
      <c r="B13" s="19">
        <v>12</v>
      </c>
      <c r="C13" s="20">
        <v>42004</v>
      </c>
      <c r="D13" s="17" t="str">
        <f t="shared" si="0"/>
        <v>4Q14</v>
      </c>
      <c r="E13" s="21"/>
    </row>
    <row r="14" spans="1:7" x14ac:dyDescent="0.3">
      <c r="A14" s="18" t="s">
        <v>224</v>
      </c>
      <c r="B14" s="19">
        <v>13</v>
      </c>
      <c r="C14" s="20">
        <v>42094</v>
      </c>
      <c r="D14" s="17" t="str">
        <f t="shared" si="0"/>
        <v>1Q15</v>
      </c>
      <c r="E14" s="21"/>
    </row>
    <row r="15" spans="1:7" x14ac:dyDescent="0.3">
      <c r="A15" s="18" t="s">
        <v>225</v>
      </c>
      <c r="B15" s="19">
        <v>14</v>
      </c>
      <c r="C15" s="20">
        <v>42185</v>
      </c>
      <c r="D15" s="17" t="str">
        <f t="shared" si="0"/>
        <v>2Q15</v>
      </c>
      <c r="E15" s="21"/>
    </row>
    <row r="16" spans="1:7" x14ac:dyDescent="0.3">
      <c r="A16" s="18" t="s">
        <v>226</v>
      </c>
      <c r="B16" s="19">
        <v>15</v>
      </c>
      <c r="C16" s="20">
        <v>42277</v>
      </c>
      <c r="D16" s="17" t="str">
        <f t="shared" si="0"/>
        <v>3Q15</v>
      </c>
      <c r="E16" s="21"/>
    </row>
    <row r="17" spans="1:7" x14ac:dyDescent="0.3">
      <c r="A17" s="18" t="s">
        <v>227</v>
      </c>
      <c r="B17" s="19">
        <v>16</v>
      </c>
      <c r="C17" s="20">
        <v>42369</v>
      </c>
      <c r="D17" s="17" t="str">
        <f t="shared" si="0"/>
        <v>4Q15</v>
      </c>
      <c r="E17" s="21"/>
    </row>
    <row r="18" spans="1:7" x14ac:dyDescent="0.3">
      <c r="A18" s="18" t="s">
        <v>228</v>
      </c>
      <c r="B18" s="19">
        <v>17</v>
      </c>
      <c r="C18" s="20">
        <v>42460</v>
      </c>
      <c r="D18" s="17" t="str">
        <f t="shared" si="0"/>
        <v>1Q16</v>
      </c>
      <c r="E18" s="21"/>
    </row>
    <row r="19" spans="1:7" x14ac:dyDescent="0.3">
      <c r="A19" s="18" t="s">
        <v>229</v>
      </c>
      <c r="B19" s="19">
        <v>18</v>
      </c>
      <c r="C19" s="20">
        <v>42551</v>
      </c>
      <c r="D19" s="17" t="str">
        <f t="shared" si="0"/>
        <v>2Q16</v>
      </c>
      <c r="E19" s="21"/>
    </row>
    <row r="20" spans="1:7" x14ac:dyDescent="0.3">
      <c r="A20" s="18" t="s">
        <v>230</v>
      </c>
      <c r="B20" s="19">
        <v>19</v>
      </c>
      <c r="C20" s="20">
        <v>42643</v>
      </c>
      <c r="D20" s="17" t="str">
        <f t="shared" si="0"/>
        <v>3Q16</v>
      </c>
      <c r="E20" s="21"/>
    </row>
    <row r="21" spans="1:7" x14ac:dyDescent="0.3">
      <c r="A21" s="18" t="s">
        <v>231</v>
      </c>
      <c r="B21" s="19">
        <v>20</v>
      </c>
      <c r="C21" s="20">
        <v>42735</v>
      </c>
      <c r="D21" s="17" t="str">
        <f t="shared" si="0"/>
        <v>4Q16</v>
      </c>
      <c r="E21" s="21"/>
    </row>
    <row r="22" spans="1:7" x14ac:dyDescent="0.3">
      <c r="A22" s="18" t="s">
        <v>232</v>
      </c>
      <c r="B22" s="19">
        <v>21</v>
      </c>
      <c r="C22" s="20">
        <v>42825</v>
      </c>
      <c r="D22" s="17" t="str">
        <f t="shared" si="0"/>
        <v>1Q17</v>
      </c>
      <c r="E22" s="21"/>
    </row>
    <row r="23" spans="1:7" x14ac:dyDescent="0.3">
      <c r="A23" s="18" t="s">
        <v>233</v>
      </c>
      <c r="B23" s="19">
        <v>22</v>
      </c>
      <c r="C23" s="20">
        <v>42916</v>
      </c>
      <c r="D23" s="17" t="str">
        <f t="shared" si="0"/>
        <v>2Q17</v>
      </c>
    </row>
    <row r="24" spans="1:7" x14ac:dyDescent="0.3">
      <c r="A24" s="18" t="s">
        <v>234</v>
      </c>
      <c r="B24" s="19">
        <v>23</v>
      </c>
      <c r="C24" s="20">
        <v>43008</v>
      </c>
      <c r="D24" s="17" t="str">
        <f t="shared" si="0"/>
        <v>3Q17</v>
      </c>
    </row>
    <row r="25" spans="1:7" x14ac:dyDescent="0.3">
      <c r="A25" s="18" t="s">
        <v>235</v>
      </c>
      <c r="B25" s="19">
        <v>24</v>
      </c>
      <c r="C25" s="20">
        <v>43100</v>
      </c>
      <c r="D25" s="17" t="str">
        <f t="shared" si="0"/>
        <v>4Q17</v>
      </c>
      <c r="E25" s="17"/>
      <c r="F25" s="17"/>
      <c r="G25" s="17"/>
    </row>
    <row r="26" spans="1:7" x14ac:dyDescent="0.3">
      <c r="A26" s="18" t="s">
        <v>236</v>
      </c>
      <c r="B26" s="19">
        <v>25</v>
      </c>
      <c r="C26" s="20">
        <v>43190</v>
      </c>
      <c r="D26" s="17" t="str">
        <f t="shared" si="0"/>
        <v>1Q18</v>
      </c>
    </row>
    <row r="27" spans="1:7" x14ac:dyDescent="0.3">
      <c r="A27" s="18" t="s">
        <v>237</v>
      </c>
      <c r="B27" s="19">
        <v>26</v>
      </c>
      <c r="C27" s="20">
        <v>43281</v>
      </c>
      <c r="D27" s="17" t="str">
        <f t="shared" si="0"/>
        <v>2Q18</v>
      </c>
    </row>
    <row r="28" spans="1:7" x14ac:dyDescent="0.3">
      <c r="A28" s="18" t="s">
        <v>238</v>
      </c>
      <c r="B28" s="19">
        <v>27</v>
      </c>
      <c r="C28" s="20">
        <v>43373</v>
      </c>
      <c r="D28" s="17" t="str">
        <f t="shared" si="0"/>
        <v>3Q18</v>
      </c>
    </row>
    <row r="29" spans="1:7" x14ac:dyDescent="0.3">
      <c r="A29" s="18" t="s">
        <v>239</v>
      </c>
      <c r="B29" s="19">
        <v>28</v>
      </c>
      <c r="C29" s="20">
        <v>43465</v>
      </c>
      <c r="D29" s="17" t="str">
        <f t="shared" si="0"/>
        <v>4Q18</v>
      </c>
    </row>
    <row r="30" spans="1:7" x14ac:dyDescent="0.3">
      <c r="A30" s="18" t="s">
        <v>240</v>
      </c>
      <c r="B30" s="19">
        <v>29</v>
      </c>
      <c r="C30" s="20">
        <v>43555</v>
      </c>
      <c r="D30" s="17" t="str">
        <f t="shared" si="0"/>
        <v>1Q19</v>
      </c>
      <c r="E30" s="17"/>
      <c r="F30" s="17"/>
      <c r="G30" s="17"/>
    </row>
    <row r="31" spans="1:7" x14ac:dyDescent="0.3">
      <c r="A31" s="18" t="s">
        <v>241</v>
      </c>
      <c r="B31" s="19">
        <v>30</v>
      </c>
      <c r="C31" s="20">
        <v>43646</v>
      </c>
      <c r="D31" s="17" t="str">
        <f t="shared" si="0"/>
        <v>2Q19</v>
      </c>
      <c r="E31" s="17"/>
      <c r="F31" s="17"/>
      <c r="G31" s="17"/>
    </row>
    <row r="32" spans="1:7" x14ac:dyDescent="0.3">
      <c r="A32" s="18" t="s">
        <v>242</v>
      </c>
      <c r="B32" s="19">
        <v>31</v>
      </c>
      <c r="C32" s="20">
        <v>43738</v>
      </c>
      <c r="D32" s="17" t="str">
        <f t="shared" si="0"/>
        <v>3Q19</v>
      </c>
      <c r="E32" s="17"/>
      <c r="F32" s="17"/>
      <c r="G32" s="17"/>
    </row>
    <row r="33" spans="1:7" x14ac:dyDescent="0.3">
      <c r="A33" s="18" t="s">
        <v>243</v>
      </c>
      <c r="B33" s="19">
        <v>32</v>
      </c>
      <c r="C33" s="20">
        <v>43830</v>
      </c>
      <c r="D33" s="17" t="str">
        <f t="shared" si="0"/>
        <v>4Q19</v>
      </c>
      <c r="E33" s="17"/>
      <c r="F33" s="17"/>
      <c r="G33" s="17"/>
    </row>
    <row r="34" spans="1:7" x14ac:dyDescent="0.3">
      <c r="A34" s="18" t="s">
        <v>244</v>
      </c>
      <c r="B34" s="19">
        <v>33</v>
      </c>
      <c r="C34" s="20">
        <v>43921</v>
      </c>
      <c r="D34" s="17" t="str">
        <f t="shared" si="0"/>
        <v>1Q20</v>
      </c>
      <c r="E34" s="17"/>
      <c r="F34" s="17"/>
      <c r="G34" s="17"/>
    </row>
    <row r="35" spans="1:7" x14ac:dyDescent="0.3">
      <c r="A35" s="18" t="s">
        <v>245</v>
      </c>
      <c r="B35" s="19">
        <v>34</v>
      </c>
      <c r="C35" s="20">
        <v>44012</v>
      </c>
      <c r="D35" s="17" t="str">
        <f t="shared" si="0"/>
        <v>2Q20</v>
      </c>
      <c r="E35" s="17"/>
      <c r="F35" s="17"/>
      <c r="G35" s="17"/>
    </row>
    <row r="36" spans="1:7" x14ac:dyDescent="0.3">
      <c r="A36" s="18" t="s">
        <v>246</v>
      </c>
      <c r="B36" s="19">
        <v>35</v>
      </c>
      <c r="C36" s="20">
        <v>44104</v>
      </c>
      <c r="D36" s="17" t="str">
        <f t="shared" si="0"/>
        <v>3Q20</v>
      </c>
      <c r="E36" s="17"/>
      <c r="F36" s="17"/>
      <c r="G36" s="17"/>
    </row>
    <row r="37" spans="1:7" x14ac:dyDescent="0.3">
      <c r="A37" s="18" t="s">
        <v>247</v>
      </c>
      <c r="B37" s="19">
        <v>36</v>
      </c>
      <c r="C37" s="20">
        <v>44196</v>
      </c>
      <c r="D37" s="17" t="str">
        <f t="shared" si="0"/>
        <v>4Q20</v>
      </c>
      <c r="E37" s="17"/>
      <c r="F37" s="17"/>
      <c r="G37" s="17"/>
    </row>
    <row r="38" spans="1:7" x14ac:dyDescent="0.3">
      <c r="A38" s="18" t="s">
        <v>248</v>
      </c>
      <c r="B38" s="19">
        <v>37</v>
      </c>
      <c r="C38" s="20">
        <v>44286</v>
      </c>
      <c r="D38" s="17" t="str">
        <f t="shared" si="0"/>
        <v>1Q21</v>
      </c>
      <c r="E38" s="17"/>
      <c r="F38" s="17"/>
      <c r="G38" s="17"/>
    </row>
    <row r="39" spans="1:7" x14ac:dyDescent="0.3">
      <c r="A39" s="18" t="s">
        <v>249</v>
      </c>
      <c r="B39" s="19">
        <v>38</v>
      </c>
      <c r="C39" s="20">
        <v>44377</v>
      </c>
      <c r="D39" s="17" t="str">
        <f t="shared" si="0"/>
        <v>2Q21</v>
      </c>
      <c r="E39" s="17"/>
      <c r="F39" s="17"/>
      <c r="G39" s="17"/>
    </row>
    <row r="40" spans="1:7" x14ac:dyDescent="0.3">
      <c r="A40" s="18" t="s">
        <v>250</v>
      </c>
      <c r="B40" s="19">
        <v>39</v>
      </c>
      <c r="C40" s="20">
        <v>44469</v>
      </c>
      <c r="D40" s="17" t="str">
        <f t="shared" si="0"/>
        <v>3Q21</v>
      </c>
      <c r="E40" s="17"/>
      <c r="F40" s="17"/>
      <c r="G40" s="17"/>
    </row>
    <row r="41" spans="1:7" x14ac:dyDescent="0.3">
      <c r="A41" s="18" t="s">
        <v>251</v>
      </c>
      <c r="B41" s="19">
        <v>40</v>
      </c>
      <c r="C41" s="20">
        <v>44561</v>
      </c>
      <c r="D41" s="17" t="str">
        <f t="shared" si="0"/>
        <v>4Q21</v>
      </c>
      <c r="E41" s="17"/>
      <c r="F41" s="17"/>
      <c r="G41" s="17"/>
    </row>
    <row r="42" spans="1:7" x14ac:dyDescent="0.3">
      <c r="A42" s="18" t="s">
        <v>252</v>
      </c>
      <c r="B42" s="19">
        <v>41</v>
      </c>
      <c r="C42" s="20">
        <v>44651</v>
      </c>
      <c r="D42" s="17" t="str">
        <f t="shared" si="0"/>
        <v>1Q22</v>
      </c>
      <c r="E42" s="17"/>
      <c r="F42" s="17"/>
      <c r="G42" s="17"/>
    </row>
    <row r="43" spans="1:7" x14ac:dyDescent="0.3">
      <c r="A43" s="18" t="s">
        <v>253</v>
      </c>
      <c r="B43" s="19">
        <v>42</v>
      </c>
      <c r="C43" s="20">
        <v>44742</v>
      </c>
      <c r="D43" s="17" t="str">
        <f t="shared" si="0"/>
        <v>2Q22</v>
      </c>
      <c r="E43" s="17"/>
      <c r="F43" s="17"/>
      <c r="G43" s="17"/>
    </row>
    <row r="44" spans="1:7" x14ac:dyDescent="0.3">
      <c r="A44" s="18" t="s">
        <v>254</v>
      </c>
      <c r="B44" s="19">
        <v>43</v>
      </c>
      <c r="C44" s="20">
        <v>44834</v>
      </c>
      <c r="D44" s="17" t="str">
        <f t="shared" si="0"/>
        <v>3Q22</v>
      </c>
      <c r="E44" s="17"/>
      <c r="F44" s="17"/>
      <c r="G44" s="17"/>
    </row>
    <row r="45" spans="1:7" x14ac:dyDescent="0.3">
      <c r="A45" s="18" t="s">
        <v>255</v>
      </c>
      <c r="B45" s="19">
        <v>44</v>
      </c>
      <c r="C45" s="20">
        <v>44926</v>
      </c>
      <c r="D45" s="17" t="str">
        <f t="shared" si="0"/>
        <v>4Q22</v>
      </c>
      <c r="E45" s="17"/>
      <c r="F45" s="17"/>
      <c r="G45" s="17"/>
    </row>
    <row r="46" spans="1:7" x14ac:dyDescent="0.3">
      <c r="A46" s="18" t="s">
        <v>256</v>
      </c>
      <c r="B46" s="19">
        <v>45</v>
      </c>
      <c r="C46" s="20">
        <v>45016</v>
      </c>
      <c r="D46" s="17" t="str">
        <f t="shared" si="0"/>
        <v>1Q23</v>
      </c>
      <c r="E46" s="17"/>
      <c r="F46" s="17"/>
      <c r="G46" s="17"/>
    </row>
    <row r="47" spans="1:7" x14ac:dyDescent="0.3">
      <c r="A47" s="18" t="s">
        <v>257</v>
      </c>
      <c r="B47" s="19">
        <v>46</v>
      </c>
      <c r="C47" s="20">
        <v>45107</v>
      </c>
      <c r="D47" s="17" t="str">
        <f t="shared" si="0"/>
        <v>2Q23</v>
      </c>
      <c r="E47" s="17"/>
      <c r="F47" s="17"/>
      <c r="G47" s="17"/>
    </row>
    <row r="48" spans="1:7" x14ac:dyDescent="0.3">
      <c r="A48" s="18" t="s">
        <v>258</v>
      </c>
      <c r="B48" s="19">
        <v>47</v>
      </c>
      <c r="C48" s="20">
        <v>45199</v>
      </c>
      <c r="D48" s="17" t="str">
        <f t="shared" si="0"/>
        <v>3Q23</v>
      </c>
      <c r="E48" s="17"/>
      <c r="F48" s="17"/>
      <c r="G48" s="17"/>
    </row>
    <row r="49" spans="1:7" x14ac:dyDescent="0.3">
      <c r="A49" s="18" t="s">
        <v>259</v>
      </c>
      <c r="B49" s="19">
        <v>48</v>
      </c>
      <c r="C49" s="20">
        <v>45291</v>
      </c>
      <c r="D49" s="17" t="str">
        <f t="shared" si="0"/>
        <v>4Q23</v>
      </c>
      <c r="E49" s="17"/>
      <c r="F49" s="17"/>
      <c r="G49" s="17"/>
    </row>
    <row r="50" spans="1:7" x14ac:dyDescent="0.3">
      <c r="A50" s="18" t="s">
        <v>260</v>
      </c>
      <c r="B50" s="19">
        <v>49</v>
      </c>
      <c r="C50" s="20">
        <v>45382</v>
      </c>
      <c r="D50" s="17" t="str">
        <f t="shared" si="0"/>
        <v>1Q24</v>
      </c>
      <c r="E50" s="17"/>
      <c r="F50" s="17"/>
      <c r="G50" s="17"/>
    </row>
    <row r="51" spans="1:7" x14ac:dyDescent="0.3">
      <c r="A51" s="18" t="s">
        <v>261</v>
      </c>
      <c r="B51" s="19">
        <v>50</v>
      </c>
      <c r="C51" s="20">
        <v>45473</v>
      </c>
      <c r="D51" s="17" t="str">
        <f t="shared" si="0"/>
        <v>2Q24</v>
      </c>
    </row>
    <row r="52" spans="1:7" x14ac:dyDescent="0.3">
      <c r="A52" s="18" t="s">
        <v>262</v>
      </c>
      <c r="B52" s="19">
        <v>51</v>
      </c>
      <c r="C52" s="20">
        <v>45565</v>
      </c>
      <c r="D52" s="17" t="str">
        <f t="shared" si="0"/>
        <v>3Q24</v>
      </c>
    </row>
    <row r="53" spans="1:7" x14ac:dyDescent="0.3">
      <c r="A53" s="18" t="s">
        <v>263</v>
      </c>
      <c r="B53" s="19">
        <v>52</v>
      </c>
      <c r="C53" s="20">
        <v>45657</v>
      </c>
      <c r="D53" s="17" t="str">
        <f t="shared" si="0"/>
        <v>4Q24</v>
      </c>
    </row>
    <row r="54" spans="1:7" x14ac:dyDescent="0.3">
      <c r="A54" s="18" t="s">
        <v>264</v>
      </c>
      <c r="B54" s="19">
        <v>53</v>
      </c>
      <c r="C54" s="20">
        <v>45747</v>
      </c>
      <c r="D54" s="17" t="str">
        <f t="shared" si="0"/>
        <v>1Q25</v>
      </c>
    </row>
    <row r="55" spans="1:7" x14ac:dyDescent="0.3">
      <c r="A55" s="18" t="s">
        <v>265</v>
      </c>
      <c r="B55" s="19">
        <v>54</v>
      </c>
      <c r="C55" s="20">
        <v>45838</v>
      </c>
      <c r="D55" s="17" t="str">
        <f t="shared" si="0"/>
        <v>2Q25</v>
      </c>
    </row>
    <row r="56" spans="1:7" x14ac:dyDescent="0.3">
      <c r="A56" s="18" t="s">
        <v>266</v>
      </c>
      <c r="B56" s="19">
        <v>55</v>
      </c>
      <c r="C56" s="20">
        <v>45930</v>
      </c>
      <c r="D56" s="17" t="str">
        <f t="shared" si="0"/>
        <v>3Q25</v>
      </c>
    </row>
    <row r="57" spans="1:7" x14ac:dyDescent="0.3">
      <c r="A57" s="18" t="s">
        <v>267</v>
      </c>
      <c r="B57" s="19">
        <v>56</v>
      </c>
      <c r="C57" s="20">
        <v>46022</v>
      </c>
      <c r="D57" s="17" t="str">
        <f t="shared" si="0"/>
        <v>4Q25</v>
      </c>
    </row>
    <row r="58" spans="1:7" x14ac:dyDescent="0.3">
      <c r="A58" s="18" t="s">
        <v>268</v>
      </c>
      <c r="B58" s="19">
        <v>57</v>
      </c>
      <c r="C58" s="20">
        <v>46112</v>
      </c>
      <c r="D58" s="17" t="str">
        <f t="shared" si="0"/>
        <v>1Q26</v>
      </c>
    </row>
    <row r="59" spans="1:7" x14ac:dyDescent="0.3">
      <c r="A59" s="18" t="s">
        <v>269</v>
      </c>
      <c r="B59" s="19">
        <v>58</v>
      </c>
      <c r="C59" s="20">
        <v>46203</v>
      </c>
      <c r="D59" s="17" t="str">
        <f t="shared" si="0"/>
        <v>2Q26</v>
      </c>
    </row>
    <row r="60" spans="1:7" x14ac:dyDescent="0.3">
      <c r="A60" s="18" t="s">
        <v>270</v>
      </c>
      <c r="B60" s="19">
        <v>59</v>
      </c>
      <c r="C60" s="20">
        <v>46295</v>
      </c>
      <c r="D60" s="17" t="str">
        <f t="shared" si="0"/>
        <v>3Q26</v>
      </c>
    </row>
    <row r="61" spans="1:7" x14ac:dyDescent="0.3">
      <c r="A61" s="18" t="s">
        <v>271</v>
      </c>
      <c r="B61" s="19">
        <v>60</v>
      </c>
      <c r="C61" s="20">
        <v>46387</v>
      </c>
      <c r="D61" s="17" t="str">
        <f t="shared" si="0"/>
        <v>4Q26</v>
      </c>
    </row>
    <row r="62" spans="1:7" x14ac:dyDescent="0.3">
      <c r="A62" s="18" t="s">
        <v>272</v>
      </c>
      <c r="B62" s="19">
        <v>61</v>
      </c>
      <c r="C62" s="20">
        <v>46477</v>
      </c>
      <c r="D62" s="17" t="str">
        <f t="shared" si="0"/>
        <v>1Q27</v>
      </c>
    </row>
    <row r="63" spans="1:7" x14ac:dyDescent="0.3">
      <c r="A63" s="18" t="s">
        <v>273</v>
      </c>
      <c r="B63" s="19">
        <v>62</v>
      </c>
      <c r="C63" s="20">
        <v>46568</v>
      </c>
      <c r="D63" s="17" t="str">
        <f t="shared" si="0"/>
        <v>2Q27</v>
      </c>
    </row>
    <row r="64" spans="1:7" x14ac:dyDescent="0.3">
      <c r="A64" s="18" t="s">
        <v>274</v>
      </c>
      <c r="B64" s="19">
        <v>63</v>
      </c>
      <c r="C64" s="20">
        <v>46660</v>
      </c>
      <c r="D64" s="17" t="str">
        <f t="shared" si="0"/>
        <v>3Q27</v>
      </c>
    </row>
    <row r="65" spans="1:4" x14ac:dyDescent="0.3">
      <c r="A65" s="18" t="s">
        <v>275</v>
      </c>
      <c r="B65" s="19">
        <v>64</v>
      </c>
      <c r="C65" s="20">
        <v>46752</v>
      </c>
      <c r="D65" s="17" t="str">
        <f t="shared" si="0"/>
        <v>4Q27</v>
      </c>
    </row>
    <row r="66" spans="1:4" x14ac:dyDescent="0.3">
      <c r="A66" s="18" t="s">
        <v>276</v>
      </c>
      <c r="B66" s="19">
        <v>65</v>
      </c>
      <c r="C66" s="20">
        <v>46843</v>
      </c>
      <c r="D66" s="17" t="str">
        <f t="shared" si="0"/>
        <v>1Q28</v>
      </c>
    </row>
    <row r="67" spans="1:4" x14ac:dyDescent="0.3">
      <c r="A67" s="18" t="s">
        <v>277</v>
      </c>
      <c r="B67" s="19">
        <v>66</v>
      </c>
      <c r="C67" s="20">
        <v>46934</v>
      </c>
      <c r="D67" s="17" t="str">
        <f t="shared" ref="D67:D93" si="1">A67</f>
        <v>2Q28</v>
      </c>
    </row>
    <row r="68" spans="1:4" x14ac:dyDescent="0.3">
      <c r="A68" s="18" t="s">
        <v>278</v>
      </c>
      <c r="B68" s="19">
        <v>67</v>
      </c>
      <c r="C68" s="20">
        <v>47026</v>
      </c>
      <c r="D68" s="17" t="str">
        <f t="shared" si="1"/>
        <v>3Q28</v>
      </c>
    </row>
    <row r="69" spans="1:4" x14ac:dyDescent="0.3">
      <c r="A69" s="18" t="s">
        <v>279</v>
      </c>
      <c r="B69" s="19">
        <v>68</v>
      </c>
      <c r="C69" s="20">
        <v>47118</v>
      </c>
      <c r="D69" s="17" t="str">
        <f t="shared" si="1"/>
        <v>4Q28</v>
      </c>
    </row>
    <row r="70" spans="1:4" x14ac:dyDescent="0.3">
      <c r="A70" s="18" t="s">
        <v>280</v>
      </c>
      <c r="B70" s="19">
        <v>69</v>
      </c>
      <c r="C70" s="20">
        <v>47208</v>
      </c>
      <c r="D70" s="17" t="str">
        <f t="shared" si="1"/>
        <v>1Q29</v>
      </c>
    </row>
    <row r="71" spans="1:4" x14ac:dyDescent="0.3">
      <c r="A71" s="18" t="s">
        <v>281</v>
      </c>
      <c r="B71" s="19">
        <v>70</v>
      </c>
      <c r="C71" s="20">
        <v>47299</v>
      </c>
      <c r="D71" s="17" t="str">
        <f t="shared" si="1"/>
        <v>2Q29</v>
      </c>
    </row>
    <row r="72" spans="1:4" x14ac:dyDescent="0.3">
      <c r="A72" s="18" t="s">
        <v>282</v>
      </c>
      <c r="B72" s="19">
        <v>71</v>
      </c>
      <c r="C72" s="20">
        <v>47391</v>
      </c>
      <c r="D72" s="17" t="str">
        <f t="shared" si="1"/>
        <v>3Q29</v>
      </c>
    </row>
    <row r="73" spans="1:4" x14ac:dyDescent="0.3">
      <c r="A73" s="18" t="s">
        <v>283</v>
      </c>
      <c r="B73" s="19">
        <v>72</v>
      </c>
      <c r="C73" s="20">
        <v>47483</v>
      </c>
      <c r="D73" s="17" t="str">
        <f t="shared" si="1"/>
        <v>4Q29</v>
      </c>
    </row>
    <row r="74" spans="1:4" x14ac:dyDescent="0.3">
      <c r="A74" s="18" t="s">
        <v>284</v>
      </c>
      <c r="B74" s="19">
        <v>73</v>
      </c>
      <c r="C74" s="20">
        <v>47573</v>
      </c>
      <c r="D74" s="17" t="str">
        <f t="shared" si="1"/>
        <v>1Q30</v>
      </c>
    </row>
    <row r="75" spans="1:4" x14ac:dyDescent="0.3">
      <c r="A75" s="18" t="s">
        <v>285</v>
      </c>
      <c r="B75" s="19">
        <v>74</v>
      </c>
      <c r="C75" s="20">
        <v>47664</v>
      </c>
      <c r="D75" s="17" t="str">
        <f t="shared" si="1"/>
        <v>2Q30</v>
      </c>
    </row>
    <row r="76" spans="1:4" x14ac:dyDescent="0.3">
      <c r="A76" s="18" t="s">
        <v>286</v>
      </c>
      <c r="B76" s="19">
        <v>75</v>
      </c>
      <c r="C76" s="20">
        <v>47756</v>
      </c>
      <c r="D76" s="17" t="str">
        <f t="shared" si="1"/>
        <v>3Q30</v>
      </c>
    </row>
    <row r="77" spans="1:4" x14ac:dyDescent="0.3">
      <c r="A77" s="18" t="s">
        <v>287</v>
      </c>
      <c r="B77" s="19">
        <v>76</v>
      </c>
      <c r="C77" s="20">
        <v>47848</v>
      </c>
      <c r="D77" s="17" t="str">
        <f t="shared" si="1"/>
        <v>4Q30</v>
      </c>
    </row>
    <row r="78" spans="1:4" x14ac:dyDescent="0.3">
      <c r="A78" s="18" t="s">
        <v>288</v>
      </c>
      <c r="B78" s="19">
        <v>77</v>
      </c>
      <c r="C78" s="20">
        <v>47938</v>
      </c>
      <c r="D78" s="17" t="str">
        <f t="shared" si="1"/>
        <v>1Q31</v>
      </c>
    </row>
    <row r="79" spans="1:4" x14ac:dyDescent="0.3">
      <c r="A79" s="18" t="s">
        <v>289</v>
      </c>
      <c r="B79" s="19">
        <v>78</v>
      </c>
      <c r="C79" s="20">
        <v>48029</v>
      </c>
      <c r="D79" s="17" t="str">
        <f t="shared" si="1"/>
        <v>2Q31</v>
      </c>
    </row>
    <row r="80" spans="1:4" x14ac:dyDescent="0.3">
      <c r="A80" s="18" t="s">
        <v>290</v>
      </c>
      <c r="B80" s="19">
        <v>79</v>
      </c>
      <c r="C80" s="20">
        <v>48121</v>
      </c>
      <c r="D80" s="17" t="str">
        <f t="shared" si="1"/>
        <v>3Q31</v>
      </c>
    </row>
    <row r="81" spans="1:4" x14ac:dyDescent="0.3">
      <c r="A81" s="18" t="s">
        <v>291</v>
      </c>
      <c r="B81" s="19">
        <v>80</v>
      </c>
      <c r="C81" s="20">
        <v>48213</v>
      </c>
      <c r="D81" s="17" t="str">
        <f t="shared" si="1"/>
        <v>4Q31</v>
      </c>
    </row>
    <row r="82" spans="1:4" x14ac:dyDescent="0.3">
      <c r="A82" s="18" t="s">
        <v>292</v>
      </c>
      <c r="B82" s="19">
        <v>81</v>
      </c>
      <c r="C82" s="20">
        <v>48304</v>
      </c>
      <c r="D82" s="17" t="str">
        <f t="shared" si="1"/>
        <v>1Q32</v>
      </c>
    </row>
    <row r="83" spans="1:4" x14ac:dyDescent="0.3">
      <c r="A83" s="18" t="s">
        <v>293</v>
      </c>
      <c r="B83" s="19">
        <v>82</v>
      </c>
      <c r="C83" s="20">
        <v>48395</v>
      </c>
      <c r="D83" s="17" t="str">
        <f t="shared" si="1"/>
        <v>2Q32</v>
      </c>
    </row>
    <row r="84" spans="1:4" x14ac:dyDescent="0.3">
      <c r="A84" s="18" t="s">
        <v>294</v>
      </c>
      <c r="B84" s="19">
        <v>83</v>
      </c>
      <c r="C84" s="20">
        <v>48487</v>
      </c>
      <c r="D84" s="17" t="str">
        <f t="shared" si="1"/>
        <v>3Q32</v>
      </c>
    </row>
    <row r="85" spans="1:4" x14ac:dyDescent="0.3">
      <c r="A85" s="18" t="s">
        <v>295</v>
      </c>
      <c r="B85" s="19">
        <v>84</v>
      </c>
      <c r="C85" s="20">
        <v>48579</v>
      </c>
      <c r="D85" s="17" t="str">
        <f t="shared" si="1"/>
        <v>4Q32</v>
      </c>
    </row>
    <row r="86" spans="1:4" x14ac:dyDescent="0.3">
      <c r="A86" s="18" t="s">
        <v>296</v>
      </c>
      <c r="B86" s="19">
        <v>85</v>
      </c>
      <c r="C86" s="20">
        <v>48669</v>
      </c>
      <c r="D86" s="17" t="str">
        <f t="shared" si="1"/>
        <v>1Q33</v>
      </c>
    </row>
    <row r="87" spans="1:4" x14ac:dyDescent="0.3">
      <c r="A87" s="18" t="s">
        <v>297</v>
      </c>
      <c r="B87" s="19">
        <v>86</v>
      </c>
      <c r="C87" s="20">
        <v>48760</v>
      </c>
      <c r="D87" s="17" t="str">
        <f t="shared" si="1"/>
        <v>2Q33</v>
      </c>
    </row>
    <row r="88" spans="1:4" x14ac:dyDescent="0.3">
      <c r="A88" s="18" t="s">
        <v>298</v>
      </c>
      <c r="B88" s="19">
        <v>87</v>
      </c>
      <c r="C88" s="20">
        <v>48852</v>
      </c>
      <c r="D88" s="17" t="str">
        <f t="shared" si="1"/>
        <v>3Q33</v>
      </c>
    </row>
    <row r="89" spans="1:4" x14ac:dyDescent="0.3">
      <c r="A89" s="18" t="s">
        <v>299</v>
      </c>
      <c r="B89" s="19">
        <v>88</v>
      </c>
      <c r="C89" s="20">
        <v>48944</v>
      </c>
      <c r="D89" s="17" t="str">
        <f t="shared" si="1"/>
        <v>4Q33</v>
      </c>
    </row>
    <row r="90" spans="1:4" x14ac:dyDescent="0.3">
      <c r="A90" s="18" t="s">
        <v>300</v>
      </c>
      <c r="B90" s="19">
        <v>89</v>
      </c>
      <c r="C90" s="20">
        <v>49034</v>
      </c>
      <c r="D90" s="17" t="str">
        <f t="shared" si="1"/>
        <v>1Q34</v>
      </c>
    </row>
    <row r="91" spans="1:4" x14ac:dyDescent="0.3">
      <c r="A91" s="18" t="s">
        <v>301</v>
      </c>
      <c r="B91" s="19">
        <v>90</v>
      </c>
      <c r="C91" s="20">
        <v>49125</v>
      </c>
      <c r="D91" s="17" t="str">
        <f t="shared" si="1"/>
        <v>2Q34</v>
      </c>
    </row>
    <row r="92" spans="1:4" x14ac:dyDescent="0.3">
      <c r="A92" s="18" t="s">
        <v>302</v>
      </c>
      <c r="B92" s="19">
        <v>91</v>
      </c>
      <c r="C92" s="20">
        <v>49217</v>
      </c>
      <c r="D92" s="17" t="str">
        <f t="shared" si="1"/>
        <v>3Q34</v>
      </c>
    </row>
    <row r="93" spans="1:4" x14ac:dyDescent="0.3">
      <c r="A93" s="18" t="s">
        <v>303</v>
      </c>
      <c r="B93" s="19">
        <v>92</v>
      </c>
      <c r="C93" s="20">
        <v>49309</v>
      </c>
      <c r="D93" s="17" t="str">
        <f t="shared" si="1"/>
        <v>4Q34</v>
      </c>
    </row>
    <row r="94" spans="1:4" x14ac:dyDescent="0.3">
      <c r="A94" t="s">
        <v>304</v>
      </c>
      <c r="B94" s="17">
        <v>93</v>
      </c>
      <c r="C94" s="22">
        <v>49399</v>
      </c>
      <c r="D94" s="17" t="s">
        <v>305</v>
      </c>
    </row>
    <row r="95" spans="1:4" x14ac:dyDescent="0.3">
      <c r="A95" t="s">
        <v>306</v>
      </c>
      <c r="B95" s="17">
        <v>94</v>
      </c>
      <c r="C95" s="22">
        <v>49490</v>
      </c>
      <c r="D95" s="17" t="s">
        <v>307</v>
      </c>
    </row>
    <row r="96" spans="1:4" x14ac:dyDescent="0.3">
      <c r="A96" t="s">
        <v>308</v>
      </c>
      <c r="B96" s="17">
        <v>95</v>
      </c>
      <c r="C96" s="22">
        <v>49582</v>
      </c>
      <c r="D96" s="17" t="s">
        <v>309</v>
      </c>
    </row>
    <row r="97" spans="1:4" x14ac:dyDescent="0.3">
      <c r="A97" t="s">
        <v>310</v>
      </c>
      <c r="B97" s="17">
        <v>96</v>
      </c>
      <c r="C97" s="22">
        <v>49674</v>
      </c>
      <c r="D97" s="17" t="s">
        <v>311</v>
      </c>
    </row>
    <row r="98" spans="1:4" x14ac:dyDescent="0.3">
      <c r="A98" t="s">
        <v>305</v>
      </c>
      <c r="B98" s="17">
        <v>97</v>
      </c>
      <c r="C98" s="22">
        <v>49765</v>
      </c>
      <c r="D98" s="17" t="s">
        <v>312</v>
      </c>
    </row>
    <row r="99" spans="1:4" x14ac:dyDescent="0.3">
      <c r="A99" t="s">
        <v>307</v>
      </c>
      <c r="B99" s="17">
        <v>98</v>
      </c>
      <c r="C99" s="22">
        <v>49856</v>
      </c>
      <c r="D99" s="17" t="s">
        <v>313</v>
      </c>
    </row>
    <row r="100" spans="1:4" x14ac:dyDescent="0.3">
      <c r="A100" t="s">
        <v>309</v>
      </c>
      <c r="B100" s="17">
        <v>99</v>
      </c>
      <c r="C100" s="22">
        <v>49948</v>
      </c>
      <c r="D100" s="17" t="s">
        <v>314</v>
      </c>
    </row>
    <row r="101" spans="1:4" x14ac:dyDescent="0.3">
      <c r="A101" t="s">
        <v>311</v>
      </c>
      <c r="B101" s="17">
        <v>100</v>
      </c>
      <c r="C101" s="22">
        <v>50040</v>
      </c>
      <c r="D101" s="17" t="s">
        <v>315</v>
      </c>
    </row>
    <row r="102" spans="1:4" x14ac:dyDescent="0.3">
      <c r="A102" t="s">
        <v>312</v>
      </c>
      <c r="B102" s="17">
        <v>101</v>
      </c>
      <c r="C102" s="22">
        <v>50130</v>
      </c>
      <c r="D102" s="17" t="s">
        <v>316</v>
      </c>
    </row>
    <row r="103" spans="1:4" x14ac:dyDescent="0.3">
      <c r="A103" t="s">
        <v>313</v>
      </c>
      <c r="B103" s="17">
        <v>102</v>
      </c>
      <c r="C103" s="22">
        <v>50221</v>
      </c>
      <c r="D103" s="17" t="s">
        <v>317</v>
      </c>
    </row>
    <row r="104" spans="1:4" x14ac:dyDescent="0.3">
      <c r="A104" t="s">
        <v>314</v>
      </c>
      <c r="B104" s="17">
        <v>103</v>
      </c>
      <c r="C104" s="22">
        <v>50313</v>
      </c>
      <c r="D104" s="17" t="s">
        <v>318</v>
      </c>
    </row>
    <row r="105" spans="1:4" x14ac:dyDescent="0.3">
      <c r="A105" t="s">
        <v>315</v>
      </c>
      <c r="B105" s="17">
        <v>104</v>
      </c>
      <c r="C105" s="22">
        <v>50405</v>
      </c>
      <c r="D105" s="17" t="s">
        <v>319</v>
      </c>
    </row>
    <row r="106" spans="1:4" x14ac:dyDescent="0.3">
      <c r="A106" t="s">
        <v>316</v>
      </c>
      <c r="B106" s="17">
        <v>105</v>
      </c>
      <c r="C106" s="22">
        <v>50495</v>
      </c>
      <c r="D106" s="17" t="s">
        <v>320</v>
      </c>
    </row>
    <row r="107" spans="1:4" x14ac:dyDescent="0.3">
      <c r="A107" t="s">
        <v>317</v>
      </c>
      <c r="B107" s="17">
        <v>106</v>
      </c>
      <c r="C107" s="22">
        <v>50586</v>
      </c>
      <c r="D107" s="17" t="s">
        <v>321</v>
      </c>
    </row>
    <row r="108" spans="1:4" x14ac:dyDescent="0.3">
      <c r="A108" t="s">
        <v>318</v>
      </c>
      <c r="B108" s="17">
        <v>107</v>
      </c>
      <c r="C108" s="22">
        <v>50678</v>
      </c>
      <c r="D108" s="17" t="s">
        <v>322</v>
      </c>
    </row>
    <row r="109" spans="1:4" x14ac:dyDescent="0.3">
      <c r="A109" t="s">
        <v>319</v>
      </c>
      <c r="B109" s="17">
        <v>108</v>
      </c>
      <c r="C109" s="22">
        <v>50770</v>
      </c>
      <c r="D109" s="17" t="s">
        <v>323</v>
      </c>
    </row>
    <row r="110" spans="1:4" x14ac:dyDescent="0.3">
      <c r="A110" t="s">
        <v>320</v>
      </c>
      <c r="B110" s="17">
        <v>109</v>
      </c>
      <c r="C110" s="22">
        <v>50860</v>
      </c>
      <c r="D110" s="17" t="s">
        <v>324</v>
      </c>
    </row>
    <row r="111" spans="1:4" x14ac:dyDescent="0.3">
      <c r="A111" t="s">
        <v>321</v>
      </c>
      <c r="B111" s="17">
        <v>110</v>
      </c>
      <c r="C111" s="22">
        <v>50951</v>
      </c>
      <c r="D111" s="17" t="s">
        <v>325</v>
      </c>
    </row>
    <row r="112" spans="1:4" x14ac:dyDescent="0.3">
      <c r="A112" t="s">
        <v>322</v>
      </c>
      <c r="B112" s="17">
        <v>111</v>
      </c>
      <c r="C112" s="22">
        <v>51043</v>
      </c>
      <c r="D112" s="17" t="s">
        <v>326</v>
      </c>
    </row>
    <row r="113" spans="1:4" x14ac:dyDescent="0.3">
      <c r="A113" t="s">
        <v>323</v>
      </c>
      <c r="B113" s="17">
        <v>112</v>
      </c>
      <c r="C113" s="22">
        <v>51135</v>
      </c>
      <c r="D113" s="17" t="s">
        <v>327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a64ecaf-0ff2-4962-b687-c42052c96c69">
      <Terms xmlns="http://schemas.microsoft.com/office/infopath/2007/PartnerControls"/>
    </lcf76f155ced4ddcb4097134ff3c332f>
    <TaxCatchAll xmlns="ac44878d-96d9-4f15-b496-a7136242695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E45DFD126F1C944A14E489380A940D9" ma:contentTypeVersion="13" ma:contentTypeDescription="Create a new document." ma:contentTypeScope="" ma:versionID="54a3a045f6e2758a88fefc4509e6ba4d">
  <xsd:schema xmlns:xsd="http://www.w3.org/2001/XMLSchema" xmlns:xs="http://www.w3.org/2001/XMLSchema" xmlns:p="http://schemas.microsoft.com/office/2006/metadata/properties" xmlns:ns2="7a64ecaf-0ff2-4962-b687-c42052c96c69" xmlns:ns3="ac44878d-96d9-4f15-b496-a71362426953" targetNamespace="http://schemas.microsoft.com/office/2006/metadata/properties" ma:root="true" ma:fieldsID="643ec04db5565974903b6764794c1175" ns2:_="" ns3:_="">
    <xsd:import namespace="7a64ecaf-0ff2-4962-b687-c42052c96c69"/>
    <xsd:import namespace="ac44878d-96d9-4f15-b496-a7136242695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64ecaf-0ff2-4962-b687-c42052c96c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e47c01aa-fa72-499e-a558-c0906cb7ca6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c44878d-96d9-4f15-b496-a7136242695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b3b699d-aa6c-457c-8a6e-4428a86250e7}" ma:internalName="TaxCatchAll" ma:showField="CatchAllData" ma:web="ac44878d-96d9-4f15-b496-a713624269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888217-07FC-40A3-9F27-1C95880ABF67}">
  <ds:schemaRefs>
    <ds:schemaRef ds:uri="http://www.w3.org/XML/1998/namespace"/>
    <ds:schemaRef ds:uri="http://schemas.microsoft.com/office/2006/documentManagement/types"/>
    <ds:schemaRef ds:uri="http://purl.org/dc/dcmitype/"/>
    <ds:schemaRef ds:uri="http://schemas.microsoft.com/office/2006/metadata/properties"/>
    <ds:schemaRef ds:uri="http://purl.org/dc/elements/1.1/"/>
    <ds:schemaRef ds:uri="ac44878d-96d9-4f15-b496-a71362426953"/>
    <ds:schemaRef ds:uri="http://purl.org/dc/terms/"/>
    <ds:schemaRef ds:uri="http://schemas.microsoft.com/office/infopath/2007/PartnerControls"/>
    <ds:schemaRef ds:uri="http://schemas.openxmlformats.org/package/2006/metadata/core-properties"/>
    <ds:schemaRef ds:uri="7a64ecaf-0ff2-4962-b687-c42052c96c69"/>
  </ds:schemaRefs>
</ds:datastoreItem>
</file>

<file path=customXml/itemProps2.xml><?xml version="1.0" encoding="utf-8"?>
<ds:datastoreItem xmlns:ds="http://schemas.openxmlformats.org/officeDocument/2006/customXml" ds:itemID="{AC00B561-3999-4A14-9A1D-724BE7D7FDEE}">
  <ds:schemaRefs>
    <ds:schemaRef ds:uri="http://schemas.microsoft.com/sharepoint/v3/contenttype/forms"/>
  </ds:schemaRefs>
</ds:datastoreItem>
</file>

<file path=customXml/itemProps3.xml><?xml version="1.0" encoding="utf-8"?>
<ds:datastoreItem xmlns:ds="http://schemas.openxmlformats.org/officeDocument/2006/customXml" ds:itemID="{936089E1-BBFC-4D98-B705-A0408DBD264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Key</vt:lpstr>
      <vt:lpstr>Profit and Loss Highlights</vt:lpstr>
      <vt:lpstr>Key Balance Sheet &amp; CFlow Items</vt:lpstr>
      <vt:lpstr>Domestic Mobile Operations</vt:lpstr>
      <vt:lpstr>Charts</vt:lpstr>
      <vt:lpstr>Lisbon</vt:lpstr>
      <vt:lpstr>Dates</vt:lpstr>
      <vt:lpstr>Charts!Print_Area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Casper Erskine</dc:creator>
  <cp:lastModifiedBy>Kelvin Oh</cp:lastModifiedBy>
  <cp:lastPrinted>2024-02-22T09:37:50Z</cp:lastPrinted>
  <dcterms:created xsi:type="dcterms:W3CDTF">2017-05-04T06:51:21Z</dcterms:created>
  <dcterms:modified xsi:type="dcterms:W3CDTF">2025-02-18T08:10:48Z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0x0101004E45DFD126F1C944A14E489380A940D9</vt:lpwstr>
  </property>
  <property fmtid="{D5CDD505-2E9C-101B-9397-08002B2CF9AE}" pid="3" name="Order">
    <vt:r8>8605600</vt:r8>
  </property>
  <property fmtid="{D5CDD505-2E9C-101B-9397-08002B2CF9AE}" pid="4" name="MediaServiceImageTags">
    <vt:lpwstr/>
  </property>
</Properties>
</file>