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mc:AlternateContent xmlns:mc="http://schemas.openxmlformats.org/markup-compatibility/2006">
    <mc:Choice Requires="x15">
      <x15ac:absPath xmlns:x15ac="http://schemas.microsoft.com/office/spreadsheetml/2010/11/ac" url="S:\Shared\shared\TELECOMS\STOCKS\EMEA\Indonesia\03 XL Axiata\"/>
    </mc:Choice>
  </mc:AlternateContent>
  <xr:revisionPtr revIDLastSave="0" documentId="13_ncr:1_{92CD27E3-3DF4-44FE-A373-4680708CDE11}" xr6:coauthVersionLast="47" xr6:coauthVersionMax="47" xr10:uidLastSave="{00000000-0000-0000-0000-000000000000}"/>
  <bookViews>
    <workbookView xWindow="-23148" yWindow="-108" windowWidth="23256" windowHeight="12456" tabRatio="711" xr2:uid="{00000000-000D-0000-FFFF-FFFF00000000}"/>
  </bookViews>
  <sheets>
    <sheet name="Key" sheetId="13" r:id="rId1"/>
    <sheet name="Reported Group Highlights" sheetId="9" r:id="rId2"/>
    <sheet name="Sheet1" sheetId="16" state="hidden" r:id="rId3"/>
    <sheet name="Reported Group Balance Sheet" sheetId="10" r:id="rId4"/>
    <sheet name="Domestic Mobile Operations" sheetId="6" r:id="rId5"/>
    <sheet name="FBB KPI" sheetId="18" r:id="rId6"/>
    <sheet name="Charts" sheetId="12" r:id="rId7"/>
    <sheet name="Disclaimer" sheetId="17" r:id="rId8"/>
    <sheet name="Dates" sheetId="14" state="hidden"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__">#REF!</definedName>
    <definedName name="__FDS_HYPERLINK_TOGGLE_STATE__" hidden="1">"ON"</definedName>
    <definedName name="_1_0Market">[1]KPN!#REF!</definedName>
    <definedName name="_1993A" localSheetId="7">#REF!</definedName>
    <definedName name="_1993A">#REF!</definedName>
    <definedName name="_1994A" localSheetId="7">#REF!</definedName>
    <definedName name="_1994A">#REF!</definedName>
    <definedName name="_1995" localSheetId="7">#REF!</definedName>
    <definedName name="_1995">#REF!</definedName>
    <definedName name="_1995A" localSheetId="7">#REF!</definedName>
    <definedName name="_1995A">#REF!</definedName>
    <definedName name="_1996" localSheetId="7">#REF!</definedName>
    <definedName name="_1996">#REF!</definedName>
    <definedName name="_1996A" localSheetId="7">#REF!</definedName>
    <definedName name="_1996A">#REF!</definedName>
    <definedName name="_1997" localSheetId="7">#REF!</definedName>
    <definedName name="_1997">#REF!</definedName>
    <definedName name="_1997A" localSheetId="7">#REF!</definedName>
    <definedName name="_1997A">#REF!</definedName>
    <definedName name="_1998" localSheetId="7">#REF!</definedName>
    <definedName name="_1998">#REF!</definedName>
    <definedName name="_1998E" localSheetId="7">#REF!</definedName>
    <definedName name="_1998E">#REF!</definedName>
    <definedName name="_1999" localSheetId="7">#REF!</definedName>
    <definedName name="_1999">#REF!</definedName>
    <definedName name="_1999E" localSheetId="7">#REF!</definedName>
    <definedName name="_1999E">#REF!</definedName>
    <definedName name="_2000" localSheetId="7">#REF!</definedName>
    <definedName name="_2000">#REF!</definedName>
    <definedName name="_2000E" localSheetId="7">#REF!</definedName>
    <definedName name="_2000E">#REF!</definedName>
    <definedName name="_2001" localSheetId="7">#REF!</definedName>
    <definedName name="_2001">#REF!</definedName>
    <definedName name="_2001E" localSheetId="7">#REF!</definedName>
    <definedName name="_2001E">#REF!</definedName>
    <definedName name="_2002" localSheetId="7">#REF!</definedName>
    <definedName name="_2002">#REF!</definedName>
    <definedName name="_2002E" localSheetId="7">#REF!</definedName>
    <definedName name="_2002E">#REF!</definedName>
    <definedName name="_2003E" localSheetId="7">#REF!</definedName>
    <definedName name="_2003E">#REF!</definedName>
    <definedName name="_2004">#REF!</definedName>
    <definedName name="_2004E" localSheetId="7">#REF!</definedName>
    <definedName name="_2004E">#REF!</definedName>
    <definedName name="_2005E" localSheetId="7">#REF!</definedName>
    <definedName name="_2005E">#REF!</definedName>
    <definedName name="_2B_0Working_pr">[1]KPN!#REF!</definedName>
    <definedName name="_3D_0Working_l">[1]KPN!#REF!</definedName>
    <definedName name="_IW295">[2]Financials!#REF!</definedName>
    <definedName name="_Key1" hidden="1">#REF!</definedName>
    <definedName name="_Order1" hidden="1">255</definedName>
    <definedName name="_Sort" hidden="1">#REF!</definedName>
    <definedName name="_UP" localSheetId="7">#REF!</definedName>
    <definedName name="_UP">#REF!</definedName>
    <definedName name="_yr1996" localSheetId="7">#REF!</definedName>
    <definedName name="_yr1996">#REF!</definedName>
    <definedName name="a_sted">'[3]A-sted'!$A$8:$J$52</definedName>
    <definedName name="a_sted_akk">'[3]A-sted'!$O$8:$AA$59</definedName>
    <definedName name="af">#REF!</definedName>
    <definedName name="algeria">#REF!</definedName>
    <definedName name="anscount" hidden="1">1</definedName>
    <definedName name="Användare">#REF!</definedName>
    <definedName name="aRG">#REF!</definedName>
    <definedName name="assoc" localSheetId="7">#REF!</definedName>
    <definedName name="assoc">#REF!</definedName>
    <definedName name="Austria_telenor_mobile_export">#REF!</definedName>
    <definedName name="bangladesh_telenor_mobile_export">#REF!</definedName>
    <definedName name="Belgium_Belgacom_fixed_export">#REF!</definedName>
    <definedName name="Belgium_Belgacom_mobile_export">#REF!</definedName>
    <definedName name="bondcos" localSheetId="7">#REF!</definedName>
    <definedName name="bondcos">#REF!</definedName>
    <definedName name="bondcost" localSheetId="7">#REF!</definedName>
    <definedName name="bondcost">#REF!</definedName>
    <definedName name="bsminority" localSheetId="7">#REF!</definedName>
    <definedName name="bsminority">#REF!</definedName>
    <definedName name="BT_Att" localSheetId="7">#REF!</definedName>
    <definedName name="BT_Att">#REF!</definedName>
    <definedName name="BT_BSMins" localSheetId="7">#REF!</definedName>
    <definedName name="BT_BSMins">#REF!</definedName>
    <definedName name="BT_CFPS" localSheetId="7">#REF!</definedName>
    <definedName name="BT_CFPS">#REF!</definedName>
    <definedName name="BT_CFPS_fd" localSheetId="7">#REF!</definedName>
    <definedName name="BT_CFPS_fd">#REF!</definedName>
    <definedName name="BT_DPS" localSheetId="7">#REF!</definedName>
    <definedName name="BT_DPS">#REF!</definedName>
    <definedName name="BT_DtoE" localSheetId="7">#REF!</definedName>
    <definedName name="BT_DtoE">#REF!</definedName>
    <definedName name="BT_EBITDA" localSheetId="7">#REF!</definedName>
    <definedName name="BT_EBITDA">#REF!</definedName>
    <definedName name="BT_EPS_fd" localSheetId="7">#REF!</definedName>
    <definedName name="BT_EPS_fd">#REF!</definedName>
    <definedName name="BT_FA" localSheetId="7">#REF!</definedName>
    <definedName name="BT_FA">#REF!</definedName>
    <definedName name="BT_Min" localSheetId="7">#REF!</definedName>
    <definedName name="BT_Min">#REF!</definedName>
    <definedName name="BT_Minorities" localSheetId="7">#REF!</definedName>
    <definedName name="BT_Minorities">#REF!</definedName>
    <definedName name="BT_Mins" localSheetId="7">#REF!</definedName>
    <definedName name="BT_Mins">#REF!</definedName>
    <definedName name="BT_NAV" localSheetId="7">#REF!</definedName>
    <definedName name="BT_NAV">#REF!</definedName>
    <definedName name="BT_NDebt" localSheetId="7">#REF!</definedName>
    <definedName name="BT_NDebt">#REF!</definedName>
    <definedName name="BT_netdebt" localSheetId="7">#REF!</definedName>
    <definedName name="BT_netdebt">#REF!</definedName>
    <definedName name="BT_Provs" localSheetId="7">#REF!</definedName>
    <definedName name="BT_Provs">#REF!</definedName>
    <definedName name="BT_R" localSheetId="7">#REF!</definedName>
    <definedName name="BT_R">#REF!</definedName>
    <definedName name="BT_Rec" localSheetId="7">#REF!</definedName>
    <definedName name="BT_Rec">#REF!</definedName>
    <definedName name="BT_ROCE" localSheetId="7">#REF!</definedName>
    <definedName name="BT_ROCE">#REF!</definedName>
    <definedName name="BT_ROE" localSheetId="7">#REF!</definedName>
    <definedName name="BT_ROE">#REF!</definedName>
    <definedName name="BT_Sales" localSheetId="7">#REF!</definedName>
    <definedName name="BT_Sales">#REF!</definedName>
    <definedName name="BT_Shf" localSheetId="7">#REF!</definedName>
    <definedName name="BT_Shf">#REF!</definedName>
    <definedName name="BT_Shissued" localSheetId="7">#REF!</definedName>
    <definedName name="BT_Shissued">#REF!</definedName>
    <definedName name="BT_UK_export">[4]IM!$K$12:$AL$48</definedName>
    <definedName name="BT_UP" localSheetId="7">#REF!</definedName>
    <definedName name="BT_UP">#REF!</definedName>
    <definedName name="Capital_Employed" localSheetId="7">#REF!</definedName>
    <definedName name="Capital_Employed">#REF!</definedName>
    <definedName name="cash" localSheetId="7">#REF!</definedName>
    <definedName name="cash">#REF!</definedName>
    <definedName name="casheps" localSheetId="7">#REF!</definedName>
    <definedName name="casheps">#REF!</definedName>
    <definedName name="changend" localSheetId="7">#REF!</definedName>
    <definedName name="changend">#REF!</definedName>
    <definedName name="Chile">#REF!</definedName>
    <definedName name="Company_Code">[5]Front!$E$10</definedName>
    <definedName name="Company_Name">[5]Front!$E$11</definedName>
    <definedName name="Core_old__BT_cap_ex" localSheetId="7">#REF!</definedName>
    <definedName name="Core_old__BT_cap_ex">#REF!</definedName>
    <definedName name="corecapex" localSheetId="7">#REF!</definedName>
    <definedName name="corecapex">#REF!</definedName>
    <definedName name="CPE" localSheetId="7">#REF!</definedName>
    <definedName name="CPE">#REF!</definedName>
    <definedName name="creditors" localSheetId="7">#REF!</definedName>
    <definedName name="creditors">#REF!</definedName>
    <definedName name="cueps" localSheetId="7">#REF!</definedName>
    <definedName name="cueps">#REF!</definedName>
    <definedName name="Currency">[5]Front!$E$15</definedName>
    <definedName name="Datatabell">#REF!</definedName>
    <definedName name="Date">[5]Front!$E$16</definedName>
    <definedName name="DB">"WIREUK"</definedName>
    <definedName name="DCF_Valuation" localSheetId="7">[6]UK!#REF!</definedName>
    <definedName name="DCF_Valuation">[7]UK!#REF!</definedName>
    <definedName name="debtors" localSheetId="7">#REF!</definedName>
    <definedName name="debtors">#REF!</definedName>
    <definedName name="depre" localSheetId="7">#REF!</definedName>
    <definedName name="depre">#REF!</definedName>
    <definedName name="depreciation" localSheetId="7">#REF!</definedName>
    <definedName name="depreciation">#REF!</definedName>
    <definedName name="disposals" localSheetId="7">#REF!</definedName>
    <definedName name="disposals">#REF!</definedName>
    <definedName name="divpaid" localSheetId="7">#REF!</definedName>
    <definedName name="divpaid">#REF!</definedName>
    <definedName name="djstoxx">'[8]Price Relative'!$AC$56:$AI$66,'[8]Price Relative'!$AN$5:$AT$14</definedName>
    <definedName name="DM_Asia_prices">[9]Prices!#REF!</definedName>
    <definedName name="DM_Asia_ratings">[9]Prices!#REF!</definedName>
    <definedName name="DM_Asia_targets">[9]Prices!#REF!</definedName>
    <definedName name="dps" localSheetId="7">#REF!</definedName>
    <definedName name="dps">#REF!</definedName>
    <definedName name="EgenRappPath">#REF!</definedName>
    <definedName name="EM_Asia_prices">[9]Prices!#REF!</definedName>
    <definedName name="EM_Asia_ratings">[9]Prices!#REF!</definedName>
    <definedName name="EM_Asia_targets">[9]Prices!#REF!</definedName>
    <definedName name="eps" localSheetId="7">#REF!</definedName>
    <definedName name="eps">#REF!</definedName>
    <definedName name="ExcelPath">#N/A</definedName>
    <definedName name="F.1981.03" localSheetId="7">#REF!</definedName>
    <definedName name="F.1981.03">#REF!</definedName>
    <definedName name="F.1982.03" localSheetId="7">#REF!</definedName>
    <definedName name="F.1982.03">#REF!</definedName>
    <definedName name="F.1983.03" localSheetId="7">#REF!</definedName>
    <definedName name="F.1983.03">#REF!</definedName>
    <definedName name="F.1984.03" localSheetId="7">#REF!</definedName>
    <definedName name="F.1984.03">#REF!</definedName>
    <definedName name="F.1985.03" localSheetId="7">#REF!</definedName>
    <definedName name="F.1985.03">#REF!</definedName>
    <definedName name="F.1986.03" localSheetId="7">#REF!</definedName>
    <definedName name="F.1986.03">#REF!</definedName>
    <definedName name="F.1987.03" localSheetId="7">#REF!</definedName>
    <definedName name="F.1987.03">#REF!</definedName>
    <definedName name="F.1988.03" localSheetId="7">#REF!</definedName>
    <definedName name="F.1988.03">#REF!</definedName>
    <definedName name="F.1989.03" localSheetId="7">#REF!</definedName>
    <definedName name="F.1989.03">#REF!</definedName>
    <definedName name="F.1990.03" localSheetId="7">#REF!</definedName>
    <definedName name="F.1990.03">#REF!</definedName>
    <definedName name="F.1991.03" localSheetId="7">#REF!</definedName>
    <definedName name="F.1991.03">#REF!</definedName>
    <definedName name="F.1992.03" localSheetId="7">#REF!</definedName>
    <definedName name="F.1992.03">#REF!</definedName>
    <definedName name="F.1993.03" localSheetId="7">#REF!</definedName>
    <definedName name="F.1993.03">#REF!</definedName>
    <definedName name="F.1994.03" localSheetId="7">#REF!</definedName>
    <definedName name="F.1994.03">#REF!</definedName>
    <definedName name="F.1995.03" localSheetId="7">#REF!</definedName>
    <definedName name="F.1995.03">#REF!</definedName>
    <definedName name="F.1998.03" localSheetId="7">#REF!</definedName>
    <definedName name="F.1998.03">#REF!</definedName>
    <definedName name="fcf" localSheetId="7">#REF!</definedName>
    <definedName name="fcf">#REF!</definedName>
    <definedName name="France_Telecom">#REF!</definedName>
    <definedName name="France_Telecom_Belgium_mobile_interconnect_receipts">#REF!</definedName>
    <definedName name="France_Telecom_Belgium_mobile_interconnect_receipts_from_fixed_operators">#REF!</definedName>
    <definedName name="France_Telecom_Belgium_mobile_interconnect_receipts_from_mobile_operators">#REF!</definedName>
    <definedName name="France_Telecom_Belgium_mobile_other_revenue">#REF!</definedName>
    <definedName name="France_Telecom_Belgium_mobile_retail_and_wholesale_services_revenue">#REF!</definedName>
    <definedName name="France_Telecom_Belgium_mobile_retail_revenue">#REF!</definedName>
    <definedName name="France_Telecom_Belgium_mobile_retail_subscribers">#REF!</definedName>
    <definedName name="France_Telecom_Belgium_mobile_revenue">#REF!</definedName>
    <definedName name="France_Telecom_Belgium_mobile_wholesale_revenue">#REF!</definedName>
    <definedName name="France_Telecom_Belgium_mobile_wholesale_subscribers">#REF!</definedName>
    <definedName name="France_Telecom_Denmark_mobile_interconnect_receipts">#REF!</definedName>
    <definedName name="France_Telecom_Denmark_mobile_interconnect_receipts_from_fixed_operators">#REF!</definedName>
    <definedName name="France_Telecom_Denmark_mobile_interconnect_receipts_from_mobile_operators">#REF!</definedName>
    <definedName name="France_Telecom_Denmark_mobile_other_revenue">#REF!</definedName>
    <definedName name="France_Telecom_Denmark_mobile_retail_and_wholesale_services_revenue">#REF!</definedName>
    <definedName name="France_Telecom_Denmark_mobile_retail_revenue">#REF!</definedName>
    <definedName name="France_Telecom_Denmark_mobile_retail_subscribers">#REF!</definedName>
    <definedName name="France_Telecom_Denmark_mobile_revenue">#REF!</definedName>
    <definedName name="France_Telecom_Denmark_mobile_wholesale_revenue">#REF!</definedName>
    <definedName name="France_Telecom_Denmark_mobile_wholesale_subscribers">#REF!</definedName>
    <definedName name="France_Telecom_Egypt_mobile_interconnect_receipts">#REF!</definedName>
    <definedName name="France_Telecom_Egypt_mobile_interconnect_receipts_from_fixed_operators">#REF!</definedName>
    <definedName name="France_Telecom_Egypt_mobile_interconnect_receipts_from_mobile_operators">#REF!</definedName>
    <definedName name="France_Telecom_Egypt_mobile_other_revenue">#REF!</definedName>
    <definedName name="France_Telecom_Egypt_mobile_retail_and_wholesale_services_revenue">#REF!</definedName>
    <definedName name="France_Telecom_Egypt_mobile_retail_revenue">#REF!</definedName>
    <definedName name="France_Telecom_Egypt_mobile_retail_subscribers">#REF!</definedName>
    <definedName name="France_Telecom_Egypt_mobile_revenue">#REF!</definedName>
    <definedName name="France_Telecom_Egypt_mobile_wholesale_revenue">#REF!</definedName>
    <definedName name="France_Telecom_Egypt_mobile_wholesale_subscribers">#REF!</definedName>
    <definedName name="France_Telecom_France_fixed_broadband_revenue__business">#REF!</definedName>
    <definedName name="France_Telecom_France_fixed_broadband_revenue__residential">#REF!</definedName>
    <definedName name="France_Telecom_France_fixed_broadband_revenue__residential___business">#REF!</definedName>
    <definedName name="France_Telecom_France_fixed_interconnect_receipts">#REF!</definedName>
    <definedName name="France_Telecom_France_fixed_interconnect_receipts_from_fixed_operators">#REF!</definedName>
    <definedName name="France_Telecom_France_fixed_interconnect_receipts_from_mobile_operators">#REF!</definedName>
    <definedName name="France_Telecom_France_fixed_other_revenue">#REF!</definedName>
    <definedName name="France_Telecom_France_fixed_retail_and_wholesale_services_revenue">#REF!</definedName>
    <definedName name="France_Telecom_France_fixed_retail_broadband_business_sites">#REF!</definedName>
    <definedName name="France_Telecom_France_fixed_retail_broadband_homes">#REF!</definedName>
    <definedName name="France_Telecom_France_fixed_retail_broadband_sites__homes_and_businesses">#REF!</definedName>
    <definedName name="France_Telecom_France_fixed_retail_business_sites">#REF!</definedName>
    <definedName name="France_Telecom_France_fixed_retail_homes">#REF!</definedName>
    <definedName name="France_Telecom_France_fixed_retail_lines__business">#REF!</definedName>
    <definedName name="France_Telecom_France_fixed_retail_lines__ISDN">#REF!</definedName>
    <definedName name="France_Telecom_France_fixed_retail_lines__PSTN">#REF!</definedName>
    <definedName name="France_Telecom_France_fixed_retail_lines__PSTN___ISDN">#REF!</definedName>
    <definedName name="France_Telecom_France_fixed_retail_lines__residential">#REF!</definedName>
    <definedName name="France_Telecom_France_fixed_retail_lines__residential___business">#REF!</definedName>
    <definedName name="France_Telecom_France_fixed_retail_revenue__business">#REF!</definedName>
    <definedName name="France_Telecom_France_fixed_retail_revenue__residential">#REF!</definedName>
    <definedName name="France_Telecom_France_fixed_retail_revenue__residential___business">#REF!</definedName>
    <definedName name="France_Telecom_France_fixed_revenue">#REF!</definedName>
    <definedName name="France_Telecom_France_fixed_wholesale_and_interconnect_services_revenue">#REF!</definedName>
    <definedName name="France_Telecom_France_fixed_wholesale_broadband_business_sites">#REF!</definedName>
    <definedName name="France_Telecom_France_fixed_wholesale_broadband_homes">#REF!</definedName>
    <definedName name="France_Telecom_France_fixed_wholesale_broadband_sites__homes_and_businesses">#REF!</definedName>
    <definedName name="France_Telecom_France_fixed_wholesale_business_sites">#REF!</definedName>
    <definedName name="France_Telecom_France_fixed_wholesale_homes">#REF!</definedName>
    <definedName name="France_Telecom_France_fixed_wholesale_lines__business">#REF!</definedName>
    <definedName name="France_Telecom_France_fixed_wholesale_lines__ISDN">#REF!</definedName>
    <definedName name="France_Telecom_France_fixed_wholesale_lines__PSTN">#REF!</definedName>
    <definedName name="France_Telecom_France_fixed_wholesale_lines__PSTN___ISDN">#REF!</definedName>
    <definedName name="France_Telecom_France_fixed_wholesale_lines__residential">#REF!</definedName>
    <definedName name="France_Telecom_France_fixed_wholesale_lines__residential___business">#REF!</definedName>
    <definedName name="France_Telecom_France_fixed_wholesale_revenue">#REF!</definedName>
    <definedName name="France_Telecom_France_mobile_interconnect_receipts">#REF!</definedName>
    <definedName name="France_Telecom_France_mobile_interconnect_receipts_from_fixed_operators">#REF!</definedName>
    <definedName name="France_Telecom_France_mobile_interconnect_receipts_from_mobile_operators">#REF!</definedName>
    <definedName name="France_Telecom_France_mobile_other_revenue">#REF!</definedName>
    <definedName name="France_Telecom_France_mobile_retail_and_wholesale_services_revenue">#REF!</definedName>
    <definedName name="France_Telecom_France_mobile_retail_revenue">#REF!</definedName>
    <definedName name="France_Telecom_France_mobile_retail_subscribers">#REF!</definedName>
    <definedName name="France_Telecom_France_mobile_revenue">#REF!</definedName>
    <definedName name="France_Telecom_France_mobile_wholesale_revenue">#REF!</definedName>
    <definedName name="France_Telecom_France_mobile_wholesale_subscribers">#REF!</definedName>
    <definedName name="France_Telecom_Netherlands_mobile_interconnect_receipts">#REF!</definedName>
    <definedName name="France_Telecom_Netherlands_mobile_interconnect_receipts_from_fixed_operators">#REF!</definedName>
    <definedName name="France_Telecom_Netherlands_mobile_interconnect_receipts_from_mobile_operators">#REF!</definedName>
    <definedName name="France_Telecom_Netherlands_mobile_other_revenue">#REF!</definedName>
    <definedName name="France_Telecom_Netherlands_mobile_retail_and_wholesale_services_revenue">#REF!</definedName>
    <definedName name="France_Telecom_Netherlands_mobile_retail_revenue">#REF!</definedName>
    <definedName name="France_Telecom_Netherlands_mobile_retail_subscribers">#REF!</definedName>
    <definedName name="France_Telecom_Netherlands_mobile_revenue">#REF!</definedName>
    <definedName name="France_Telecom_Netherlands_mobile_wholesale_revenue">#REF!</definedName>
    <definedName name="France_Telecom_Netherlands_mobile_wholesale_subscribers">#REF!</definedName>
    <definedName name="France_Telecom_Poland_fixed_broadband_revenue__business">#REF!</definedName>
    <definedName name="France_Telecom_Poland_fixed_broadband_revenue__residential">#REF!</definedName>
    <definedName name="France_Telecom_Poland_fixed_broadband_revenue__residential___business">#REF!</definedName>
    <definedName name="France_Telecom_Poland_fixed_interconnect_receipts">#REF!</definedName>
    <definedName name="France_Telecom_Poland_fixed_interconnect_receipts_from_fixed_operators">#REF!</definedName>
    <definedName name="France_Telecom_Poland_fixed_interconnect_receipts_from_mobile_operators">#REF!</definedName>
    <definedName name="France_Telecom_Poland_fixed_other_revenue">#REF!</definedName>
    <definedName name="France_Telecom_Poland_fixed_retail_and_wholesale_services_revenue">#REF!</definedName>
    <definedName name="France_Telecom_Poland_fixed_retail_broadband_business_sites">#REF!</definedName>
    <definedName name="France_Telecom_Poland_fixed_retail_broadband_homes">#REF!</definedName>
    <definedName name="France_Telecom_Poland_fixed_retail_broadband_sites__homes_and_businesses">#REF!</definedName>
    <definedName name="France_Telecom_Poland_fixed_retail_business_sites">#REF!</definedName>
    <definedName name="France_Telecom_Poland_fixed_retail_homes">#REF!</definedName>
    <definedName name="France_Telecom_Poland_fixed_retail_lines__business">#REF!</definedName>
    <definedName name="France_Telecom_Poland_fixed_retail_lines__ISDN">#REF!</definedName>
    <definedName name="France_Telecom_Poland_fixed_retail_lines__PSTN">#REF!</definedName>
    <definedName name="France_Telecom_Poland_fixed_retail_lines__PSTN___ISDN">#REF!</definedName>
    <definedName name="France_Telecom_Poland_fixed_retail_lines__residential">#REF!</definedName>
    <definedName name="France_Telecom_Poland_fixed_retail_lines__residential___business">#REF!</definedName>
    <definedName name="France_Telecom_Poland_fixed_retail_revenue__business">#REF!</definedName>
    <definedName name="France_Telecom_Poland_fixed_retail_revenue__residential">#REF!</definedName>
    <definedName name="France_Telecom_Poland_fixed_retail_revenue__residential___business">#REF!</definedName>
    <definedName name="France_Telecom_Poland_fixed_revenue">#REF!</definedName>
    <definedName name="France_Telecom_Poland_fixed_wholesale_and_interconnect_services_revenue">#REF!</definedName>
    <definedName name="France_Telecom_Poland_fixed_wholesale_broadband_business_sites">#REF!</definedName>
    <definedName name="France_Telecom_Poland_fixed_wholesale_broadband_homes">#REF!</definedName>
    <definedName name="France_Telecom_Poland_fixed_wholesale_broadband_sites__homes_and_businesses">#REF!</definedName>
    <definedName name="France_Telecom_Poland_fixed_wholesale_business_sites">#REF!</definedName>
    <definedName name="France_Telecom_Poland_fixed_wholesale_homes">#REF!</definedName>
    <definedName name="France_Telecom_Poland_fixed_wholesale_lines__business">#REF!</definedName>
    <definedName name="France_Telecom_Poland_fixed_wholesale_lines__ISDN">#REF!</definedName>
    <definedName name="France_Telecom_Poland_fixed_wholesale_lines__PSTN">#REF!</definedName>
    <definedName name="France_Telecom_Poland_fixed_wholesale_lines__PSTN___ISDN">#REF!</definedName>
    <definedName name="France_Telecom_Poland_fixed_wholesale_lines__residential">#REF!</definedName>
    <definedName name="France_Telecom_Poland_fixed_wholesale_lines__residential___business">#REF!</definedName>
    <definedName name="France_Telecom_Poland_fixed_wholesale_revenue">#REF!</definedName>
    <definedName name="France_Telecom_Poland_mobile_interconnect_receipts">#REF!</definedName>
    <definedName name="France_Telecom_Poland_mobile_interconnect_receipts_from_fixed_operators">#REF!</definedName>
    <definedName name="France_Telecom_Poland_mobile_interconnect_receipts_from_mobile_operators">#REF!</definedName>
    <definedName name="France_Telecom_Poland_mobile_other_revenue">#REF!</definedName>
    <definedName name="France_Telecom_Poland_mobile_retail_and_wholesale_services_revenue">#REF!</definedName>
    <definedName name="France_Telecom_Poland_mobile_retail_revenue">#REF!</definedName>
    <definedName name="France_Telecom_Poland_mobile_retail_subscribers">#REF!</definedName>
    <definedName name="France_Telecom_Poland_mobile_revenue">#REF!</definedName>
    <definedName name="France_Telecom_Poland_mobile_wholesale_revenue">#REF!</definedName>
    <definedName name="France_Telecom_Poland_mobile_wholesale_subscribers">#REF!</definedName>
    <definedName name="France_Telecom_Romania_mobile_interconnect_receipts">#REF!</definedName>
    <definedName name="France_Telecom_Romania_mobile_interconnect_receipts_from_fixed_operators">#REF!</definedName>
    <definedName name="France_Telecom_Romania_mobile_interconnect_receipts_from_mobile_operators">#REF!</definedName>
    <definedName name="France_Telecom_Romania_mobile_other_revenue">#REF!</definedName>
    <definedName name="France_Telecom_Romania_mobile_retail_and_wholesale_services_revenue">#REF!</definedName>
    <definedName name="France_Telecom_Romania_mobile_retail_revenue">#REF!</definedName>
    <definedName name="France_Telecom_Romania_mobile_retail_subscribers">#REF!</definedName>
    <definedName name="France_Telecom_Romania_mobile_revenue">#REF!</definedName>
    <definedName name="France_Telecom_Romania_mobile_wholesale_revenue">#REF!</definedName>
    <definedName name="France_Telecom_Romania_mobile_wholesale_subscribers">#REF!</definedName>
    <definedName name="France_Telecom_Slovakia_mobile_interconnect_receipts">#REF!</definedName>
    <definedName name="France_Telecom_Slovakia_mobile_interconnect_receipts_from_fixed_operators">#REF!</definedName>
    <definedName name="France_Telecom_Slovakia_mobile_interconnect_receipts_from_mobile_operators">#REF!</definedName>
    <definedName name="France_Telecom_Slovakia_mobile_other_revenue">#REF!</definedName>
    <definedName name="France_Telecom_Slovakia_mobile_retail_and_wholesale_services_revenue">#REF!</definedName>
    <definedName name="France_Telecom_Slovakia_mobile_retail_revenue">#REF!</definedName>
    <definedName name="France_Telecom_Slovakia_mobile_retail_subscribers">#REF!</definedName>
    <definedName name="France_Telecom_Slovakia_mobile_revenue">#REF!</definedName>
    <definedName name="France_Telecom_Slovakia_mobile_wholesale_revenue">#REF!</definedName>
    <definedName name="France_Telecom_Slovakia_mobile_wholesale_subscribers">#REF!</definedName>
    <definedName name="France_Telecom_Switzerland_mobile_interconnect_receipts">#REF!</definedName>
    <definedName name="France_Telecom_Switzerland_mobile_interconnect_receipts_from_fixed_operators">#REF!</definedName>
    <definedName name="France_Telecom_Switzerland_mobile_interconnect_receipts_from_mobile_operators">#REF!</definedName>
    <definedName name="France_Telecom_Switzerland_mobile_other_revenue">#REF!</definedName>
    <definedName name="France_Telecom_Switzerland_mobile_retail_and_wholesale_services_revenue">#REF!</definedName>
    <definedName name="France_Telecom_Switzerland_mobile_retail_revenue">#REF!</definedName>
    <definedName name="France_Telecom_Switzerland_mobile_retail_subscribers">#REF!</definedName>
    <definedName name="France_Telecom_Switzerland_mobile_revenue">#REF!</definedName>
    <definedName name="France_Telecom_Switzerland_mobile_wholesale_revenue">#REF!</definedName>
    <definedName name="France_Telecom_Switzerland_mobile_wholesale_subscribers">#REF!</definedName>
    <definedName name="France_Telecom2">#REF!</definedName>
    <definedName name="France_TelecomFrancefixedretail_revenue__residential">#REF!</definedName>
    <definedName name="FT">#REF!</definedName>
    <definedName name="FT_France_fixed_export">#REF!</definedName>
    <definedName name="FT_france_mobile_export">#REF!</definedName>
    <definedName name="FT_netherlands_mobile_export">#REF!</definedName>
    <definedName name="FT_switzerland_mobile_export">#REF!</definedName>
    <definedName name="FT_UK_mobile_export">#REF!</definedName>
    <definedName name="gdps" localSheetId="7">#REF!</definedName>
    <definedName name="gdps">#REF!</definedName>
    <definedName name="gls_ACT_EST_ROW" hidden="1">#REF!</definedName>
    <definedName name="gls_ACT_FORM_OFFSET" hidden="1">#REF!</definedName>
    <definedName name="gls_AnalystEmpNoHeading" hidden="1">#REF!</definedName>
    <definedName name="gls_AnalystNameHeading" hidden="1">#REF!</definedName>
    <definedName name="gls_EST_FORM_OFFSET" hidden="1">#REF!</definedName>
    <definedName name="gls_EXTERNAL_COL_REF" hidden="1">#REF!</definedName>
    <definedName name="gls_FIRST_ITEM" hidden="1">#REF!</definedName>
    <definedName name="gls_FIRST_PK" hidden="1">#REF!</definedName>
    <definedName name="gls_FIRST_ROWMULT" hidden="1">#REF!</definedName>
    <definedName name="gls_FIRST_UNITS" hidden="1">#REF!</definedName>
    <definedName name="gls_FIXED_NAMES" hidden="1">#REF!</definedName>
    <definedName name="gls_FONT_STATUS" hidden="1">#REF!</definedName>
    <definedName name="gls_GenAccountingConvention" hidden="1">#REF!</definedName>
    <definedName name="gls_GenCompany" hidden="1">#REF!</definedName>
    <definedName name="gls_GenCompanyInfo" hidden="1">#REF!</definedName>
    <definedName name="gls_GenCountry" hidden="1">#REF!</definedName>
    <definedName name="gls_GenCurrency" hidden="1">#REF!</definedName>
    <definedName name="gls_GenCurrencyMultiplier" hidden="1">#REF!</definedName>
    <definedName name="gls_GenEnterCompInfo" hidden="1">#REF!</definedName>
    <definedName name="gls_GenLastPriceTargetRevised" hidden="1">#REF!</definedName>
    <definedName name="gls_GenLastPublished" hidden="1">#REF!</definedName>
    <definedName name="gls_GenLastRecRevised" hidden="1">#REF!</definedName>
    <definedName name="gls_GenMainInfo" hidden="1">#REF!</definedName>
    <definedName name="gls_GenProfile" hidden="1">#REF!</definedName>
    <definedName name="gls_GenRecComment" hidden="1">#REF!</definedName>
    <definedName name="gls_GenSheetVersion" hidden="1">#REF!</definedName>
    <definedName name="gls_genStockCore" hidden="1">#REF!</definedName>
    <definedName name="gls_genStockRec" hidden="1">#REF!</definedName>
    <definedName name="gls_GenTargetCurrency" hidden="1">#REF!</definedName>
    <definedName name="gls_IssuedStockClassHeading" hidden="1">#REF!</definedName>
    <definedName name="gls_IssuedStockCodeHeading" hidden="1">#REF!</definedName>
    <definedName name="gls_IssuedStockFreeFloatHeading" hidden="1">#REF!</definedName>
    <definedName name="gls_KEY_DATA" hidden="1">#REF!</definedName>
    <definedName name="gls_KEY_VALUE" hidden="1">#REF!</definedName>
    <definedName name="gls_PERIOD_CODE" hidden="1">#REF!</definedName>
    <definedName name="gls_PERIOD_INDICATOR" hidden="1">#REF!</definedName>
    <definedName name="gls_PERIOD_PARENT_OR_CONSOL" hidden="1">#REF!</definedName>
    <definedName name="gls_PERIOD_TYPE" hidden="1">#REF!</definedName>
    <definedName name="gls_PrincipalStockClass" hidden="1">#REF!</definedName>
    <definedName name="gls_ShareholderClassHeading" hidden="1">#REF!</definedName>
    <definedName name="gls_ShareholderHolding" hidden="1">#REF!</definedName>
    <definedName name="gls_ShareholderHoldingHeading" hidden="1">#REF!</definedName>
    <definedName name="gls_ShareholderName" hidden="1">#REF!</definedName>
    <definedName name="gls_ShareholderNameHeading" hidden="1">#REF!</definedName>
    <definedName name="gls_ShareholdingName" hidden="1">#REF!</definedName>
    <definedName name="gls_SPARE_YEARS" hidden="1">#REF!</definedName>
    <definedName name="gls_START_FORMULA_OVERRIDEABLE" hidden="1">#REF!</definedName>
    <definedName name="gls_START_LOCAL_NAMES" hidden="1">#REF!</definedName>
    <definedName name="gls_START_PERIOD_CURRENCY" hidden="1">#REF!</definedName>
    <definedName name="gls_START_STATUS" hidden="1">#REF!</definedName>
    <definedName name="gls_START_USER_STATUS" hidden="1">#REF!</definedName>
    <definedName name="gls_START_VALIDATION" hidden="1">#REF!</definedName>
    <definedName name="gls_START_WHAT" hidden="1">#REF!</definedName>
    <definedName name="gls_START_YEAR" hidden="1">#REF!</definedName>
    <definedName name="gls_TEMP_PERIOD_CODE" hidden="1">#REF!</definedName>
    <definedName name="gls_YEAR_AE_CONTROL" hidden="1">#REF!</definedName>
    <definedName name="gls_YEAR_END_ROW" hidden="1">#REF!</definedName>
    <definedName name="hungary_telenor_mobile_export">#REF!</definedName>
    <definedName name="I1.1989.09">[10]cuslink!#REF!</definedName>
    <definedName name="I1.1996.09" localSheetId="7">#REF!</definedName>
    <definedName name="I1.1996.09">#REF!</definedName>
    <definedName name="inccred" localSheetId="7">#REF!</definedName>
    <definedName name="inccred">#REF!</definedName>
    <definedName name="incpenprov" localSheetId="7">#REF!</definedName>
    <definedName name="incpenprov">#REF!</definedName>
    <definedName name="increc" localSheetId="7">#REF!</definedName>
    <definedName name="increc">#REF!</definedName>
    <definedName name="incstock" localSheetId="7">#REF!</definedName>
    <definedName name="incstock">#REF!</definedName>
    <definedName name="Intangible_Fixed_Assets" localSheetId="7">#REF!</definedName>
    <definedName name="Intangible_Fixed_Assets">#REF!</definedName>
    <definedName name="InTC" localSheetId="7">#REF!</definedName>
    <definedName name="InTC">#REF!</definedName>
    <definedName name="investments" localSheetId="7">#REF!</definedName>
    <definedName name="investments">#REF!</definedName>
    <definedName name="issmin" localSheetId="7">#REF!</definedName>
    <definedName name="issmin">#REF!</definedName>
    <definedName name="issord" localSheetId="7">#REF!</definedName>
    <definedName name="issord">#REF!</definedName>
    <definedName name="ITC" localSheetId="7">#REF!</definedName>
    <definedName name="ITC">#REF!</definedName>
    <definedName name="k_kost">'[3]K-kost'!$A$9:$J$37</definedName>
    <definedName name="k_kost_akk">'[3]K-kost'!$O$8:$AA$42</definedName>
    <definedName name="kjhkjh">#REF!</definedName>
    <definedName name="Kopieringsområde">'[11]Business Sol'!$A$7:$K$77</definedName>
    <definedName name="Leased" localSheetId="7">#REF!</definedName>
    <definedName name="Leased">#REF!</definedName>
    <definedName name="limcount" hidden="1">1</definedName>
    <definedName name="Linerent" localSheetId="7">#REF!</definedName>
    <definedName name="Linerent">#REF!</definedName>
    <definedName name="Lines_per_100_pop" localSheetId="7">#REF!</definedName>
    <definedName name="Lines_per_100_pop">#REF!</definedName>
    <definedName name="lkjh">#REF!</definedName>
    <definedName name="Lösenord">#REF!</definedName>
    <definedName name="ltd" localSheetId="7">#REF!</definedName>
    <definedName name="ltd">#REF!</definedName>
    <definedName name="malaysia_telenor_mobile_export">#REF!</definedName>
    <definedName name="måned">[12]Grunndata!$B$3:$C$14</definedName>
    <definedName name="minority" localSheetId="7">#REF!</definedName>
    <definedName name="minority">#REF!</definedName>
    <definedName name="Mobile" localSheetId="7">#REF!</definedName>
    <definedName name="Mobile">#REF!</definedName>
    <definedName name="Net_Assets" localSheetId="7">#REF!</definedName>
    <definedName name="Net_Assets">#REF!</definedName>
    <definedName name="Net_Profit_SGW_Adjusted_">#REF!</definedName>
    <definedName name="netint" localSheetId="7">#REF!</definedName>
    <definedName name="netint">#REF!</definedName>
    <definedName name="netprofit" localSheetId="7">#REF!</definedName>
    <definedName name="netprofit">#REF!</definedName>
    <definedName name="ni_divs" localSheetId="7">#REF!</definedName>
    <definedName name="ni_divs">#REF!</definedName>
    <definedName name="nidivs" localSheetId="7">#REF!</definedName>
    <definedName name="nidivs">#REF!</definedName>
    <definedName name="Norway_Telenor_fixed_export">#REF!</definedName>
    <definedName name="Norway_Telenor_mobile_export">#REF!</definedName>
    <definedName name="oldcueps" localSheetId="7">#REF!</definedName>
    <definedName name="oldcueps">#REF!</definedName>
    <definedName name="oppro" localSheetId="7">#REF!</definedName>
    <definedName name="oppro">#REF!</definedName>
    <definedName name="opprofit" localSheetId="7">#REF!</definedName>
    <definedName name="opprofit">#REF!</definedName>
    <definedName name="Oss" localSheetId="7">#REF!</definedName>
    <definedName name="Oss">#REF!</definedName>
    <definedName name="Other_Long_Term_Liabilities" localSheetId="7">#REF!</definedName>
    <definedName name="Other_Long_Term_Liabilities">#REF!</definedName>
    <definedName name="Otherinc" localSheetId="7">#REF!</definedName>
    <definedName name="Otherinc">#REF!</definedName>
    <definedName name="Otherop" localSheetId="7">#REF!</definedName>
    <definedName name="Otherop">#REF!</definedName>
    <definedName name="Otheropcf" localSheetId="7">#REF!</definedName>
    <definedName name="Otheropcf">#REF!</definedName>
    <definedName name="ownwork" localSheetId="7">#REF!</definedName>
    <definedName name="ownwork">#REF!</definedName>
    <definedName name="pakistan">#REF!</definedName>
    <definedName name="pbt" localSheetId="7">#REF!</definedName>
    <definedName name="pbt">#REF!</definedName>
    <definedName name="Period">[5]Front!$E$12</definedName>
    <definedName name="Peru">#REF!</definedName>
    <definedName name="_xlnm.Print_Area" localSheetId="6">Charts!$A$1:$U$252</definedName>
    <definedName name="_xlnm.Print_Area">#N/A</definedName>
    <definedName name="_xlnm.Print_Titles">#N/A</definedName>
    <definedName name="proforma">[13]proforma!#REF!</definedName>
    <definedName name="ProjectName">{"Client Name or Project Name"}</definedName>
    <definedName name="PT_Portugal_fixed_export">#REF!</definedName>
    <definedName name="PT_Portugal_mobile_export">#REF!</definedName>
    <definedName name="Purchase_of_tangible_fixed_assets" localSheetId="7">#REF!</definedName>
    <definedName name="Purchase_of_tangible_fixed_assets">#REF!</definedName>
    <definedName name="purfai" localSheetId="7">#REF!</definedName>
    <definedName name="purfai">#REF!</definedName>
    <definedName name="pursub" localSheetId="7">#REF!</definedName>
    <definedName name="pursub">#REF!</definedName>
    <definedName name="purtfa" localSheetId="7">#REF!</definedName>
    <definedName name="purtfa">#REF!</definedName>
    <definedName name="Q1.1996.06" localSheetId="7">#REF!</definedName>
    <definedName name="Q1.1996.06">#REF!</definedName>
    <definedName name="Q2.1996.09" localSheetId="7">#REF!</definedName>
    <definedName name="Q2.1996.09">#REF!</definedName>
    <definedName name="Q3.1996.12" localSheetId="7">#REF!</definedName>
    <definedName name="Q3.1996.12">#REF!</definedName>
    <definedName name="RapportTyp">#REF!</definedName>
    <definedName name="Redundancy" localSheetId="7">#REF!</definedName>
    <definedName name="Redundancy">#REF!</definedName>
    <definedName name="res_2002">#REF!</definedName>
    <definedName name="res_2002_a">#REF!</definedName>
    <definedName name="Revenue" localSheetId="7">#REF!</definedName>
    <definedName name="Revenue">#REF!</definedName>
    <definedName name="RevFixed_05">[14]TPSA_Model!$O$468</definedName>
    <definedName name="Russia_telenor_fixed_export">#REF!</definedName>
    <definedName name="salefa" localSheetId="7">#REF!</definedName>
    <definedName name="salefa">#REF!</definedName>
    <definedName name="SecretArchiveNumber" hidden="1">1</definedName>
    <definedName name="sencount" hidden="1">1</definedName>
    <definedName name="sharecap" localSheetId="7">#REF!</definedName>
    <definedName name="sharecap">#REF!</definedName>
    <definedName name="Staff" localSheetId="7">#REF!</definedName>
    <definedName name="Staff">#REF!</definedName>
    <definedName name="staffcosts" localSheetId="7">#REF!</definedName>
    <definedName name="staffcosts">#REF!</definedName>
    <definedName name="std" localSheetId="7">#REF!</definedName>
    <definedName name="std">#REF!</definedName>
    <definedName name="stocks" localSheetId="7">#REF!</definedName>
    <definedName name="stocks">#REF!</definedName>
    <definedName name="Sweden_Telenor_fixed_export">#REF!</definedName>
    <definedName name="sweden_telenor_mobile_export">#REF!</definedName>
    <definedName name="Tangible_Fixed_Assets" localSheetId="7">#REF!</definedName>
    <definedName name="Tangible_Fixed_Assets">#REF!</definedName>
    <definedName name="tax" localSheetId="7">#REF!</definedName>
    <definedName name="tax">#REF!</definedName>
    <definedName name="taxpaid" localSheetId="7">#REF!</definedName>
    <definedName name="taxpaid">#REF!</definedName>
    <definedName name="telcopay" localSheetId="7">#REF!</definedName>
    <definedName name="telcopay">#REF!</definedName>
    <definedName name="Telenor_Norway_Fixed_Export">#REF!</definedName>
    <definedName name="telenor_norway_mobile_export">#REF!</definedName>
    <definedName name="Telenor_Russia_fixed_export">#REF!</definedName>
    <definedName name="Telesp">#REF!</definedName>
    <definedName name="TELKOM_LISBON">#REF!</definedName>
    <definedName name="Template.WIRE">"DBACCESS"</definedName>
    <definedName name="test">#REF!</definedName>
    <definedName name="tfa" localSheetId="7">#REF!</definedName>
    <definedName name="tfa">#REF!</definedName>
    <definedName name="Total_lines" localSheetId="7">#REF!</definedName>
    <definedName name="Total_lines">#REF!</definedName>
    <definedName name="Trace">FALSE</definedName>
    <definedName name="Transaction_Type">[5]Front!$E$20</definedName>
    <definedName name="UK_population__ms" localSheetId="7">#REF!</definedName>
    <definedName name="UK_population__ms">#REF!</definedName>
    <definedName name="Ukraine_telenor_mobile_export">#REF!</definedName>
    <definedName name="unadjusted" localSheetId="7">#REF!</definedName>
    <definedName name="unadjusted">#REF!</definedName>
    <definedName name="UpgradeVersion">"v2.35"</definedName>
    <definedName name="Version.WIRE">1</definedName>
    <definedName name="vis_måned">[12]Grunndata!$A$3:$B$14</definedName>
    <definedName name="Workbook.Author">#REF!</definedName>
    <definedName name="Workbook.Authors_Email_Address">#REF!</definedName>
    <definedName name="Workbook.Objective">#REF!</definedName>
    <definedName name="Workbook.Status">#REF!</definedName>
    <definedName name="Workbook.Title">#REF!</definedName>
    <definedName name="Workbook.Version">#REF!</definedName>
    <definedName name="wrn.PandL." localSheetId="7" hidden="1">{"P&amp;L",#N/A,FALSE,"annual"}</definedName>
    <definedName name="wrn.PandL." hidden="1">{"P&amp;L",#N/A,FALSE,"annual"}</definedName>
    <definedName name="wrn.Vodafone._.printout." hidden="1">{"Groupannual",#N/A,FALSE,"Groupannual";"VodMann",#N/A,FALSE,"VodMann";"Data",#N/A,FALSE,"Data";"Group International",#N/A,FALSE,"Group International";"BellAir",#N/A,FALSE,"BellAir";"DCF sum of parts",#N/A,FALSE,"DCF sum of parts";"licences",#N/A,FALSE,"licences"}</definedName>
    <definedName name="Year_ending_March" localSheetId="7">#REF!</definedName>
    <definedName name="Year_ending_March">#REF!</definedName>
    <definedName name="years" localSheetId="7">#REF!</definedName>
    <definedName name="years">#REF!</definedName>
    <definedName name="Yellow" localSheetId="7">#REF!</definedName>
    <definedName name="Yellow">#REF!</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25" i="9" l="1"/>
  <c r="BD42" i="9"/>
  <c r="BC42" i="9"/>
  <c r="AT153" i="9"/>
  <c r="AU18" i="6"/>
  <c r="AU51" i="6"/>
  <c r="AU50" i="6"/>
  <c r="AU45" i="6"/>
  <c r="AU44" i="6"/>
  <c r="AU38" i="6"/>
  <c r="AU37" i="6"/>
  <c r="AU153" i="9" s="1"/>
  <c r="AU36" i="6"/>
  <c r="AU35" i="6"/>
  <c r="AU30" i="6"/>
  <c r="AU29" i="6"/>
  <c r="AU13" i="6"/>
  <c r="AU1" i="6"/>
  <c r="AU25" i="10"/>
  <c r="AU27" i="10" s="1"/>
  <c r="AU20" i="10"/>
  <c r="AU21" i="10" s="1"/>
  <c r="AU52" i="10"/>
  <c r="AU49" i="10"/>
  <c r="AU32" i="10"/>
  <c r="AU33" i="10" s="1"/>
  <c r="AU36" i="10"/>
  <c r="AU17" i="10"/>
  <c r="AU14" i="10"/>
  <c r="AU7" i="10"/>
  <c r="AU1" i="10"/>
  <c r="AU40" i="10" s="1"/>
  <c r="AU60" i="9"/>
  <c r="AU10" i="18"/>
  <c r="AU5" i="18"/>
  <c r="AU1" i="18"/>
  <c r="AU131" i="9"/>
  <c r="AU132" i="9" s="1"/>
  <c r="AU97" i="9"/>
  <c r="AU87" i="9"/>
  <c r="AU86" i="9"/>
  <c r="AU76" i="9"/>
  <c r="AU68" i="9"/>
  <c r="AU34" i="9"/>
  <c r="AT1" i="18"/>
  <c r="AT5" i="18"/>
  <c r="AT10" i="18"/>
  <c r="AT24" i="6"/>
  <c r="AT51" i="6"/>
  <c r="AT50" i="6"/>
  <c r="AT45" i="6"/>
  <c r="AT44" i="6"/>
  <c r="AT38" i="6"/>
  <c r="AT37" i="6"/>
  <c r="AT36" i="6"/>
  <c r="AT35" i="6"/>
  <c r="AT30" i="6"/>
  <c r="AT29" i="6"/>
  <c r="AT18" i="6"/>
  <c r="AT13" i="6"/>
  <c r="AT1" i="6"/>
  <c r="AT25" i="10"/>
  <c r="AT27" i="10" s="1"/>
  <c r="AT20" i="10"/>
  <c r="AT52" i="10"/>
  <c r="AT49" i="10"/>
  <c r="AT36" i="10"/>
  <c r="AT33" i="10"/>
  <c r="AT17" i="10"/>
  <c r="AT14" i="10"/>
  <c r="AT7" i="10"/>
  <c r="AT1" i="10"/>
  <c r="AT40" i="10" s="1"/>
  <c r="AT60" i="9"/>
  <c r="AU77" i="9" s="1"/>
  <c r="AT11" i="9"/>
  <c r="AU11" i="9" s="1"/>
  <c r="AT9" i="9"/>
  <c r="AT145" i="9" s="1"/>
  <c r="AT7" i="9"/>
  <c r="AU7" i="9" s="1"/>
  <c r="AU144" i="9" s="1"/>
  <c r="AT34" i="9"/>
  <c r="AT68" i="9"/>
  <c r="AT86" i="9"/>
  <c r="AT87" i="9"/>
  <c r="AT97" i="9"/>
  <c r="AT131" i="9"/>
  <c r="AT132" i="9" s="1"/>
  <c r="AZ42" i="9" a="1"/>
  <c r="AZ25" i="9" a="1"/>
  <c r="AZ47" i="9" a="1"/>
  <c r="AZ21" i="9" a="1"/>
  <c r="AZ56" i="9" a="1"/>
  <c r="AU68" i="6" l="1"/>
  <c r="AU69" i="6" s="1"/>
  <c r="AU31" i="6"/>
  <c r="AU32" i="6"/>
  <c r="AU54" i="6"/>
  <c r="AU61" i="10"/>
  <c r="AU64" i="10" s="1"/>
  <c r="AU9" i="9"/>
  <c r="AZ25" i="9"/>
  <c r="AZ42" i="9"/>
  <c r="BA42" i="9" s="1"/>
  <c r="AZ56" i="9"/>
  <c r="AZ21" i="9"/>
  <c r="BA21" i="9" s="1"/>
  <c r="AZ47" i="9"/>
  <c r="AU133" i="9"/>
  <c r="AT76" i="9"/>
  <c r="AT144" i="9"/>
  <c r="AT143" i="9" s="1"/>
  <c r="AT68" i="6"/>
  <c r="AT69" i="6" s="1"/>
  <c r="AT61" i="10"/>
  <c r="AT64" i="10" s="1"/>
  <c r="BE42" i="9"/>
  <c r="AT133" i="9"/>
  <c r="AT150" i="9"/>
  <c r="AT54" i="6"/>
  <c r="AT21" i="10"/>
  <c r="AT77" i="9"/>
  <c r="AT10" i="9"/>
  <c r="AT146" i="9" s="1"/>
  <c r="AT147" i="9" s="1"/>
  <c r="AR13" i="9"/>
  <c r="AO15" i="9"/>
  <c r="E29" i="9"/>
  <c r="F29" i="9"/>
  <c r="G29" i="9"/>
  <c r="H29" i="9"/>
  <c r="I29" i="9"/>
  <c r="J29" i="9"/>
  <c r="K29" i="9"/>
  <c r="L29" i="9"/>
  <c r="M29" i="9"/>
  <c r="N29" i="9"/>
  <c r="O29" i="9"/>
  <c r="P29" i="9"/>
  <c r="Q29" i="9"/>
  <c r="R29" i="9"/>
  <c r="S29" i="9"/>
  <c r="T29" i="9"/>
  <c r="AN29" i="9"/>
  <c r="AR29" i="9"/>
  <c r="D29" i="9"/>
  <c r="E22" i="9"/>
  <c r="F22" i="9"/>
  <c r="G22" i="9"/>
  <c r="H22" i="9"/>
  <c r="I22" i="9"/>
  <c r="J22" i="9"/>
  <c r="K22" i="9"/>
  <c r="L22" i="9"/>
  <c r="M22" i="9"/>
  <c r="N22" i="9"/>
  <c r="O22" i="9"/>
  <c r="P22" i="9"/>
  <c r="Q22" i="9"/>
  <c r="R22" i="9"/>
  <c r="S22" i="9"/>
  <c r="T22" i="9"/>
  <c r="U22" i="9"/>
  <c r="V22" i="9"/>
  <c r="W22" i="9"/>
  <c r="D22" i="9"/>
  <c r="AA22" i="9"/>
  <c r="AB22" i="9"/>
  <c r="X22" i="9"/>
  <c r="Y21" i="9"/>
  <c r="AC22" i="9"/>
  <c r="AD22" i="9"/>
  <c r="AE22" i="9"/>
  <c r="AF22" i="9"/>
  <c r="AG22" i="9"/>
  <c r="AH22" i="9"/>
  <c r="AI22" i="9"/>
  <c r="AU10" i="9" l="1"/>
  <c r="AU145" i="9"/>
  <c r="AU47" i="6"/>
  <c r="AU63" i="10"/>
  <c r="AT63" i="10"/>
  <c r="AT31" i="9"/>
  <c r="Y22" i="9"/>
  <c r="Z21" i="9"/>
  <c r="AU31" i="9" l="1"/>
  <c r="AU146" i="9"/>
  <c r="AU150" i="9"/>
  <c r="AU147" i="9"/>
  <c r="AU143" i="9"/>
  <c r="Z22" i="9"/>
  <c r="E6" i="9"/>
  <c r="F6" i="9"/>
  <c r="G6" i="9"/>
  <c r="H6" i="9"/>
  <c r="I6" i="9"/>
  <c r="J6" i="9"/>
  <c r="K6" i="9"/>
  <c r="L6" i="9"/>
  <c r="M6" i="9"/>
  <c r="N6" i="9"/>
  <c r="O6" i="9"/>
  <c r="P6" i="9"/>
  <c r="T6" i="9"/>
  <c r="E7" i="9"/>
  <c r="F7" i="9"/>
  <c r="G7" i="9"/>
  <c r="H7" i="9"/>
  <c r="I7" i="9"/>
  <c r="J7" i="9"/>
  <c r="K7" i="9"/>
  <c r="L7" i="9"/>
  <c r="M7" i="9"/>
  <c r="N7" i="9"/>
  <c r="O7" i="9"/>
  <c r="P7" i="9"/>
  <c r="T7" i="9"/>
  <c r="X7" i="9"/>
  <c r="Y7" i="9"/>
  <c r="Z7" i="9"/>
  <c r="E8" i="9"/>
  <c r="F8" i="9"/>
  <c r="G8" i="9"/>
  <c r="H8" i="9"/>
  <c r="I8" i="9"/>
  <c r="J8" i="9"/>
  <c r="K8" i="9"/>
  <c r="L8" i="9"/>
  <c r="M8" i="9"/>
  <c r="N8" i="9"/>
  <c r="O8" i="9"/>
  <c r="P8" i="9"/>
  <c r="Q8" i="9"/>
  <c r="R8" i="9"/>
  <c r="S8" i="9"/>
  <c r="T8" i="9"/>
  <c r="D8" i="9"/>
  <c r="D7" i="9"/>
  <c r="D6" i="9"/>
  <c r="AN8" i="9"/>
  <c r="AR8" i="9"/>
  <c r="J28" i="9" l="1"/>
  <c r="J30" i="9" s="1"/>
  <c r="T28" i="9"/>
  <c r="T30" i="9" s="1"/>
  <c r="I28" i="9"/>
  <c r="I30" i="9" s="1"/>
  <c r="P28" i="9"/>
  <c r="P30" i="9" s="1"/>
  <c r="H28" i="9"/>
  <c r="H30" i="9" s="1"/>
  <c r="O28" i="9"/>
  <c r="O30" i="9" s="1"/>
  <c r="G28" i="9"/>
  <c r="G30" i="9" s="1"/>
  <c r="AR6" i="9"/>
  <c r="N28" i="9"/>
  <c r="N30" i="9" s="1"/>
  <c r="F28" i="9"/>
  <c r="F30" i="9" s="1"/>
  <c r="AN6" i="9"/>
  <c r="M28" i="9"/>
  <c r="M30" i="9" s="1"/>
  <c r="E28" i="9"/>
  <c r="E30" i="9" s="1"/>
  <c r="K28" i="9"/>
  <c r="K30" i="9" s="1"/>
  <c r="D28" i="9"/>
  <c r="D30" i="9" s="1"/>
  <c r="L28" i="9"/>
  <c r="L30" i="9" s="1"/>
  <c r="G9" i="9"/>
  <c r="O9" i="9"/>
  <c r="I9" i="9"/>
  <c r="D9" i="9"/>
  <c r="J9" i="9"/>
  <c r="M9" i="9"/>
  <c r="E9" i="9"/>
  <c r="P9" i="9"/>
  <c r="H9" i="9"/>
  <c r="N9" i="9"/>
  <c r="F9" i="9"/>
  <c r="T9" i="9"/>
  <c r="L9" i="9"/>
  <c r="K9" i="9"/>
  <c r="AA15" i="9"/>
  <c r="AA18" i="9"/>
  <c r="Z16" i="9"/>
  <c r="Z13" i="9"/>
  <c r="Y16" i="9"/>
  <c r="Y13" i="9"/>
  <c r="X16" i="9"/>
  <c r="X13" i="9"/>
  <c r="AS17" i="9"/>
  <c r="AT17" i="9" s="1"/>
  <c r="AU17" i="9" s="1"/>
  <c r="AO10" i="18"/>
  <c r="AP10" i="18"/>
  <c r="AQ10" i="18"/>
  <c r="AR10" i="18"/>
  <c r="AS10" i="18"/>
  <c r="AN10" i="18"/>
  <c r="AP5" i="18"/>
  <c r="AQ5" i="18"/>
  <c r="AR5" i="18"/>
  <c r="AS5" i="18"/>
  <c r="AO5" i="18"/>
  <c r="AS1" i="18"/>
  <c r="AR1" i="18"/>
  <c r="AQ1" i="18"/>
  <c r="AP1" i="18"/>
  <c r="AO1" i="18"/>
  <c r="AN1" i="18"/>
  <c r="AM1" i="18"/>
  <c r="AL1" i="18"/>
  <c r="AK1" i="18"/>
  <c r="AJ1" i="18"/>
  <c r="AI1" i="18"/>
  <c r="AH1" i="18"/>
  <c r="AG1" i="18"/>
  <c r="AF1" i="18"/>
  <c r="AE1" i="18"/>
  <c r="AD1" i="18"/>
  <c r="AC1" i="18"/>
  <c r="AB1" i="18"/>
  <c r="AA1" i="18"/>
  <c r="Z1" i="18"/>
  <c r="Y1" i="18"/>
  <c r="X1" i="18"/>
  <c r="W1" i="18"/>
  <c r="V1" i="18"/>
  <c r="U1" i="18"/>
  <c r="T1" i="18"/>
  <c r="S1" i="18"/>
  <c r="R1" i="18"/>
  <c r="Q1" i="18"/>
  <c r="P1" i="18"/>
  <c r="O1" i="18"/>
  <c r="N1" i="18"/>
  <c r="M1" i="18"/>
  <c r="L1" i="18"/>
  <c r="K1" i="18"/>
  <c r="J1" i="18"/>
  <c r="I1" i="18"/>
  <c r="H1" i="18"/>
  <c r="G1" i="18"/>
  <c r="F1" i="18"/>
  <c r="E1" i="18"/>
  <c r="D1" i="18"/>
  <c r="AB10" i="9"/>
  <c r="AC10" i="9"/>
  <c r="AD10" i="9"/>
  <c r="AE10" i="9"/>
  <c r="AF10" i="9"/>
  <c r="AG10" i="9"/>
  <c r="AH10" i="9"/>
  <c r="AI10" i="9"/>
  <c r="AJ10" i="9"/>
  <c r="AK10" i="9"/>
  <c r="AL10" i="9"/>
  <c r="AM10" i="9"/>
  <c r="AN10" i="9"/>
  <c r="AN146" i="9" s="1"/>
  <c r="AN147" i="9" s="1"/>
  <c r="AR10" i="9"/>
  <c r="AR146" i="9" s="1"/>
  <c r="AR147" i="9" s="1"/>
  <c r="AG147" i="9"/>
  <c r="AH147" i="9"/>
  <c r="AI147" i="9"/>
  <c r="AJ147" i="9"/>
  <c r="AF147" i="9"/>
  <c r="AJ150" i="9"/>
  <c r="AG143" i="9"/>
  <c r="AH143" i="9"/>
  <c r="AI143" i="9"/>
  <c r="AF143" i="9"/>
  <c r="AU29" i="9" l="1"/>
  <c r="AU8" i="9"/>
  <c r="AU6" i="9" s="1"/>
  <c r="AU28" i="9" s="1"/>
  <c r="AB31" i="9"/>
  <c r="AJ31" i="9"/>
  <c r="AN28" i="9"/>
  <c r="AN30" i="9" s="1"/>
  <c r="AR31" i="9"/>
  <c r="AH31" i="9"/>
  <c r="AG31" i="9"/>
  <c r="AN31" i="9"/>
  <c r="AF31" i="9"/>
  <c r="AR28" i="9"/>
  <c r="AR30" i="9" s="1"/>
  <c r="AM31" i="9"/>
  <c r="AE31" i="9"/>
  <c r="AL31" i="9"/>
  <c r="AI31" i="9"/>
  <c r="AD31" i="9"/>
  <c r="AK31" i="9"/>
  <c r="AC31" i="9"/>
  <c r="AT8" i="9"/>
  <c r="AT29" i="9"/>
  <c r="AS8" i="9"/>
  <c r="AS29" i="9"/>
  <c r="Y6" i="9"/>
  <c r="Z6" i="9"/>
  <c r="X6" i="9"/>
  <c r="Y17" i="9"/>
  <c r="AA13" i="9"/>
  <c r="AA16" i="9"/>
  <c r="X17" i="9"/>
  <c r="AO57" i="9"/>
  <c r="AS44" i="6"/>
  <c r="AS36" i="6"/>
  <c r="AS30" i="6"/>
  <c r="AS13" i="6"/>
  <c r="AS55" i="10"/>
  <c r="AT55" i="10" s="1"/>
  <c r="AU55" i="10" s="1"/>
  <c r="AS54" i="10"/>
  <c r="AS46" i="10"/>
  <c r="AT46" i="10" s="1"/>
  <c r="AU46" i="10" s="1"/>
  <c r="AS43" i="10"/>
  <c r="AT43" i="10" s="1"/>
  <c r="AU43" i="10" s="1"/>
  <c r="AS42" i="10"/>
  <c r="AT42" i="10" s="1"/>
  <c r="AU42" i="10" s="1"/>
  <c r="BA24" i="10"/>
  <c r="BC24" i="10"/>
  <c r="AS36" i="10"/>
  <c r="BA34" i="10"/>
  <c r="AS21" i="10"/>
  <c r="AS34" i="9"/>
  <c r="AS56" i="9"/>
  <c r="AS52" i="9"/>
  <c r="AS46" i="9"/>
  <c r="AS39" i="9"/>
  <c r="AS37" i="9"/>
  <c r="AS36" i="9"/>
  <c r="AS35" i="9"/>
  <c r="AS38" i="9"/>
  <c r="AS15" i="9"/>
  <c r="AS18" i="9"/>
  <c r="AN1" i="6"/>
  <c r="AO1" i="6"/>
  <c r="AP1" i="6"/>
  <c r="AQ1" i="6"/>
  <c r="AR1" i="6"/>
  <c r="AS1" i="6"/>
  <c r="AM1" i="10"/>
  <c r="AN1" i="10"/>
  <c r="AO1" i="10"/>
  <c r="AP1" i="10"/>
  <c r="AQ1" i="10"/>
  <c r="AR1" i="10"/>
  <c r="AS1" i="10"/>
  <c r="AS40" i="10" s="1"/>
  <c r="AS52" i="10"/>
  <c r="AS49" i="10"/>
  <c r="AS33" i="10"/>
  <c r="AS27" i="10"/>
  <c r="AS17" i="10"/>
  <c r="AS14" i="10"/>
  <c r="AS7" i="10"/>
  <c r="AS51" i="6"/>
  <c r="AS50" i="6"/>
  <c r="AS45" i="6"/>
  <c r="AS38" i="6"/>
  <c r="AS37" i="6"/>
  <c r="AS153" i="9" s="1"/>
  <c r="AS35" i="6"/>
  <c r="AS29" i="6"/>
  <c r="AS24" i="6"/>
  <c r="AS18" i="6"/>
  <c r="AS131" i="9"/>
  <c r="AS133" i="9" s="1"/>
  <c r="AS97" i="9"/>
  <c r="AS87" i="9"/>
  <c r="AS86" i="9"/>
  <c r="AS77" i="9"/>
  <c r="AS76" i="9"/>
  <c r="AS68" i="9"/>
  <c r="X14" i="9"/>
  <c r="E14" i="9"/>
  <c r="E18" i="9" s="1"/>
  <c r="F14" i="9"/>
  <c r="G14" i="9"/>
  <c r="H14" i="9"/>
  <c r="I14" i="9"/>
  <c r="J14" i="9"/>
  <c r="K14" i="9"/>
  <c r="L14" i="9"/>
  <c r="L18" i="9" s="1"/>
  <c r="L10" i="9" s="1"/>
  <c r="M14" i="9"/>
  <c r="M18" i="9" s="1"/>
  <c r="N14" i="9"/>
  <c r="O14" i="9"/>
  <c r="P14" i="9"/>
  <c r="T14" i="9"/>
  <c r="T18" i="9" s="1"/>
  <c r="T10" i="9" s="1"/>
  <c r="D14" i="9"/>
  <c r="AJ22" i="9"/>
  <c r="AJ21" i="9"/>
  <c r="U21" i="6"/>
  <c r="U22" i="6"/>
  <c r="Q22" i="6"/>
  <c r="Q21" i="6"/>
  <c r="M22" i="6"/>
  <c r="M21" i="6"/>
  <c r="I22" i="6"/>
  <c r="I21" i="6"/>
  <c r="E22" i="6"/>
  <c r="E21" i="6"/>
  <c r="BD39" i="9" l="1"/>
  <c r="AT56" i="9"/>
  <c r="AU56" i="9" s="1"/>
  <c r="BA56" i="9" s="1"/>
  <c r="BD56" i="9"/>
  <c r="BD38" i="9"/>
  <c r="BD35" i="9"/>
  <c r="AU30" i="9"/>
  <c r="AU32" i="9" s="1"/>
  <c r="AU44" i="10"/>
  <c r="AU47" i="10" s="1"/>
  <c r="AU51" i="10" s="1"/>
  <c r="AT52" i="9"/>
  <c r="AU52" i="9" s="1"/>
  <c r="AT15" i="9"/>
  <c r="AU15" i="9" s="1"/>
  <c r="AN32" i="9"/>
  <c r="AT6" i="9"/>
  <c r="AS6" i="9"/>
  <c r="AT36" i="9"/>
  <c r="AU36" i="9" s="1"/>
  <c r="AU61" i="6" s="1"/>
  <c r="AT54" i="10"/>
  <c r="AU54" i="10" s="1"/>
  <c r="AT37" i="9"/>
  <c r="AU37" i="9" s="1"/>
  <c r="AR32" i="9"/>
  <c r="AT46" i="9"/>
  <c r="AU46" i="9" s="1"/>
  <c r="AU67" i="10" s="1"/>
  <c r="X28" i="9"/>
  <c r="L31" i="9"/>
  <c r="L32" i="9" s="1"/>
  <c r="T31" i="9"/>
  <c r="T32" i="9" s="1"/>
  <c r="Z28" i="9"/>
  <c r="AT35" i="9"/>
  <c r="AU35" i="9" s="1"/>
  <c r="AT39" i="9"/>
  <c r="AU39" i="9" s="1"/>
  <c r="Y28" i="9"/>
  <c r="AT38" i="9"/>
  <c r="AU38" i="9" s="1"/>
  <c r="AT25" i="6"/>
  <c r="AT31" i="6"/>
  <c r="AT32" i="6"/>
  <c r="AT44" i="10"/>
  <c r="AT47" i="10" s="1"/>
  <c r="AT51" i="10" s="1"/>
  <c r="AS10" i="9"/>
  <c r="AS146" i="9" s="1"/>
  <c r="AS147" i="9" s="1"/>
  <c r="AT18" i="9"/>
  <c r="AS57" i="9"/>
  <c r="X8" i="9"/>
  <c r="X29" i="9"/>
  <c r="Y8" i="9"/>
  <c r="Y29" i="9"/>
  <c r="AA6" i="9"/>
  <c r="AA17" i="9"/>
  <c r="E10" i="9"/>
  <c r="M10" i="9"/>
  <c r="AS79" i="9"/>
  <c r="AS43" i="9"/>
  <c r="AS112" i="9"/>
  <c r="AS47" i="9"/>
  <c r="AS54" i="6"/>
  <c r="AS114" i="9"/>
  <c r="AS143" i="9"/>
  <c r="AS67" i="10"/>
  <c r="AS111" i="9"/>
  <c r="AS44" i="10"/>
  <c r="AS47" i="10" s="1"/>
  <c r="AS51" i="10" s="1"/>
  <c r="AS61" i="6"/>
  <c r="AS113" i="9"/>
  <c r="AS110" i="9"/>
  <c r="AS77" i="10"/>
  <c r="AS54" i="9"/>
  <c r="AS40" i="9"/>
  <c r="AS41" i="9" s="1"/>
  <c r="AS61" i="10"/>
  <c r="AS64" i="10" s="1"/>
  <c r="AS55" i="6"/>
  <c r="AS132" i="9"/>
  <c r="AS68" i="6"/>
  <c r="AS69" i="6" s="1"/>
  <c r="N22" i="6"/>
  <c r="F21" i="6"/>
  <c r="R21" i="6"/>
  <c r="R22" i="6"/>
  <c r="F22" i="6"/>
  <c r="V21" i="6"/>
  <c r="V22" i="6"/>
  <c r="J21" i="6"/>
  <c r="J22" i="6"/>
  <c r="N21" i="6"/>
  <c r="X41" i="9"/>
  <c r="K18" i="9"/>
  <c r="K10" i="9" s="1"/>
  <c r="J18" i="9"/>
  <c r="J10" i="9" s="1"/>
  <c r="I18" i="9"/>
  <c r="I10" i="9" s="1"/>
  <c r="X24" i="9"/>
  <c r="P18" i="9"/>
  <c r="P10" i="9" s="1"/>
  <c r="H18" i="9"/>
  <c r="H10" i="9" s="1"/>
  <c r="O18" i="9"/>
  <c r="O10" i="9" s="1"/>
  <c r="G18" i="9"/>
  <c r="G10" i="9" s="1"/>
  <c r="D18" i="9"/>
  <c r="D10" i="9" s="1"/>
  <c r="N18" i="9"/>
  <c r="N10" i="9" s="1"/>
  <c r="F18" i="9"/>
  <c r="F10" i="9" s="1"/>
  <c r="AR150" i="9"/>
  <c r="AN150" i="9"/>
  <c r="AJ143" i="9"/>
  <c r="AJ149" i="9" s="1"/>
  <c r="BD37" i="9" l="1"/>
  <c r="BD36" i="9"/>
  <c r="AU68" i="10"/>
  <c r="AU77" i="10"/>
  <c r="AU18" i="9"/>
  <c r="AU111" i="9" s="1"/>
  <c r="AU114" i="9"/>
  <c r="AU110" i="9"/>
  <c r="AU40" i="9"/>
  <c r="AU54" i="9"/>
  <c r="AU55" i="9" s="1"/>
  <c r="AU57" i="9"/>
  <c r="AT77" i="10"/>
  <c r="AT47" i="9"/>
  <c r="Y30" i="9"/>
  <c r="X30" i="9"/>
  <c r="AT61" i="6"/>
  <c r="AT67" i="10"/>
  <c r="AT28" i="9"/>
  <c r="AT30" i="9" s="1"/>
  <c r="AT32" i="9" s="1"/>
  <c r="AT40" i="9"/>
  <c r="K31" i="9"/>
  <c r="K32" i="9" s="1"/>
  <c r="AS28" i="9"/>
  <c r="AS30" i="9" s="1"/>
  <c r="M31" i="9"/>
  <c r="M32" i="9" s="1"/>
  <c r="O31" i="9"/>
  <c r="O32" i="9" s="1"/>
  <c r="E31" i="9"/>
  <c r="E32" i="9" s="1"/>
  <c r="AS95" i="9"/>
  <c r="P31" i="9"/>
  <c r="P32" i="9" s="1"/>
  <c r="AA28" i="9"/>
  <c r="D31" i="9"/>
  <c r="D32" i="9" s="1"/>
  <c r="H31" i="9"/>
  <c r="H32" i="9" s="1"/>
  <c r="AS31" i="9"/>
  <c r="X9" i="9"/>
  <c r="X10" i="9" s="1"/>
  <c r="G31" i="9"/>
  <c r="G32" i="9" s="1"/>
  <c r="F31" i="9"/>
  <c r="F32" i="9" s="1"/>
  <c r="I31" i="9"/>
  <c r="I32" i="9" s="1"/>
  <c r="Y9" i="9"/>
  <c r="N31" i="9"/>
  <c r="N32" i="9" s="1"/>
  <c r="J31" i="9"/>
  <c r="J32" i="9" s="1"/>
  <c r="AS58" i="9"/>
  <c r="AT111" i="9"/>
  <c r="AT47" i="6"/>
  <c r="AT43" i="9"/>
  <c r="AT25" i="9"/>
  <c r="AT79" i="9"/>
  <c r="AT110" i="9"/>
  <c r="AT113" i="9"/>
  <c r="AT114" i="9"/>
  <c r="AT54" i="9"/>
  <c r="AT57" i="9"/>
  <c r="AT112" i="9"/>
  <c r="AA8" i="9"/>
  <c r="AA29" i="9"/>
  <c r="AS24" i="9"/>
  <c r="AK147" i="9"/>
  <c r="AK150" i="9"/>
  <c r="AS91" i="9"/>
  <c r="AS55" i="9"/>
  <c r="AS13" i="9"/>
  <c r="AS150" i="9"/>
  <c r="S21" i="6"/>
  <c r="O21" i="6"/>
  <c r="W21" i="6"/>
  <c r="K22" i="6"/>
  <c r="K21" i="6"/>
  <c r="G22" i="6"/>
  <c r="G21" i="6"/>
  <c r="W22" i="6"/>
  <c r="S22" i="6"/>
  <c r="O22" i="6"/>
  <c r="AK143" i="9"/>
  <c r="AK149" i="9" s="1"/>
  <c r="AO150" i="9"/>
  <c r="AO143" i="9"/>
  <c r="AS149" i="9" s="1"/>
  <c r="BD18" i="9" l="1"/>
  <c r="BD43" i="9" s="1"/>
  <c r="AU112" i="9"/>
  <c r="AU47" i="9"/>
  <c r="BA47" i="9" s="1"/>
  <c r="AU91" i="9"/>
  <c r="AU113" i="9"/>
  <c r="AU79" i="9"/>
  <c r="AU25" i="9"/>
  <c r="BA25" i="9" s="1"/>
  <c r="AU134" i="9"/>
  <c r="AU43" i="9"/>
  <c r="AS32" i="9"/>
  <c r="X31" i="9"/>
  <c r="X32" i="9" s="1"/>
  <c r="AT13" i="9"/>
  <c r="AT16" i="9" s="1"/>
  <c r="AT14" i="9" s="1"/>
  <c r="AA30" i="9"/>
  <c r="AT41" i="9"/>
  <c r="AT24" i="9"/>
  <c r="AT26" i="9"/>
  <c r="AT91" i="9"/>
  <c r="AT55" i="9"/>
  <c r="AT61" i="9"/>
  <c r="AT63" i="9" s="1"/>
  <c r="AT64" i="9" s="1"/>
  <c r="AL150" i="9"/>
  <c r="AL147" i="9"/>
  <c r="AS72" i="9"/>
  <c r="AP143" i="9"/>
  <c r="AT149" i="9" s="1"/>
  <c r="AS57" i="6"/>
  <c r="AS75" i="10"/>
  <c r="AS65" i="9"/>
  <c r="AS78" i="9"/>
  <c r="AS16" i="9"/>
  <c r="AS14" i="9" s="1"/>
  <c r="AS137" i="9"/>
  <c r="AS44" i="9"/>
  <c r="AS61" i="9"/>
  <c r="AS63" i="9" s="1"/>
  <c r="AS64" i="9" s="1"/>
  <c r="AS76" i="10"/>
  <c r="AO149" i="9"/>
  <c r="AQ150" i="9"/>
  <c r="AP150" i="9"/>
  <c r="AL143" i="9"/>
  <c r="AL149" i="9" s="1"/>
  <c r="AM143" i="9"/>
  <c r="AT75" i="10" l="1"/>
  <c r="AT137" i="9"/>
  <c r="BD25" i="9"/>
  <c r="BE25" i="9" s="1"/>
  <c r="AT44" i="9"/>
  <c r="AU56" i="10"/>
  <c r="AT57" i="6"/>
  <c r="AU13" i="9"/>
  <c r="AU24" i="9"/>
  <c r="AU26" i="9"/>
  <c r="AU41" i="9"/>
  <c r="AT58" i="6"/>
  <c r="AT65" i="9"/>
  <c r="AT40" i="6"/>
  <c r="AT78" i="9"/>
  <c r="AT76" i="10"/>
  <c r="AT72" i="9"/>
  <c r="AT82" i="9"/>
  <c r="AM147" i="9"/>
  <c r="AM150" i="9"/>
  <c r="AM149" i="9"/>
  <c r="AQ143" i="9"/>
  <c r="AP149" i="9"/>
  <c r="AR37" i="6"/>
  <c r="AR153" i="9" s="1"/>
  <c r="AN143" i="9"/>
  <c r="AN149" i="9" s="1"/>
  <c r="AR143" i="9"/>
  <c r="AR34" i="9"/>
  <c r="AR86" i="9"/>
  <c r="AN151" i="9"/>
  <c r="AU58" i="6" l="1"/>
  <c r="AU57" i="6"/>
  <c r="AU40" i="6"/>
  <c r="AU76" i="10"/>
  <c r="AU75" i="10"/>
  <c r="AU42" i="6"/>
  <c r="AU44" i="9"/>
  <c r="AU78" i="9"/>
  <c r="AU61" i="9"/>
  <c r="AU72" i="9"/>
  <c r="AU16" i="9"/>
  <c r="AU14" i="9" s="1"/>
  <c r="AU65" i="9"/>
  <c r="AU137" i="9"/>
  <c r="AQ149" i="9"/>
  <c r="AU149" i="9"/>
  <c r="AR151" i="9"/>
  <c r="AR149" i="9"/>
  <c r="AU82" i="9" l="1"/>
  <c r="AU63" i="9"/>
  <c r="AU64" i="9" s="1"/>
  <c r="AR36" i="6"/>
  <c r="AQ36" i="6"/>
  <c r="AP36" i="6"/>
  <c r="AO36" i="6"/>
  <c r="AN36" i="6"/>
  <c r="AM36" i="6"/>
  <c r="AL36" i="6"/>
  <c r="AK36" i="6"/>
  <c r="AJ36" i="6"/>
  <c r="AI36" i="6"/>
  <c r="AH36" i="6"/>
  <c r="AG36" i="6"/>
  <c r="AF36" i="6"/>
  <c r="AE36" i="6"/>
  <c r="AD36" i="6"/>
  <c r="AC36" i="6"/>
  <c r="AB36" i="6"/>
  <c r="X36" i="6"/>
  <c r="AR35" i="6"/>
  <c r="AQ35" i="6"/>
  <c r="AP35" i="6"/>
  <c r="AO35" i="6"/>
  <c r="AN35" i="6"/>
  <c r="AM35" i="6"/>
  <c r="AL35" i="6"/>
  <c r="AK35" i="6"/>
  <c r="AJ35" i="6"/>
  <c r="AI35" i="6"/>
  <c r="AH35" i="6"/>
  <c r="AG35" i="6"/>
  <c r="AF35" i="6"/>
  <c r="AE35" i="6"/>
  <c r="AD35" i="6"/>
  <c r="AC35" i="6"/>
  <c r="AB35" i="6"/>
  <c r="X35" i="6"/>
  <c r="AR32" i="10"/>
  <c r="AR33" i="10" s="1"/>
  <c r="AR25" i="10"/>
  <c r="AR27" i="10" s="1"/>
  <c r="AR20" i="10"/>
  <c r="AR21" i="10" s="1"/>
  <c r="AN13" i="9"/>
  <c r="AR76" i="10"/>
  <c r="AR57" i="9"/>
  <c r="AR49" i="9"/>
  <c r="AR61" i="6"/>
  <c r="AR45" i="6"/>
  <c r="AR44" i="6"/>
  <c r="AR38" i="6"/>
  <c r="AR30" i="6"/>
  <c r="AR29" i="6"/>
  <c r="AR24" i="6"/>
  <c r="AR23" i="6"/>
  <c r="AR18" i="6"/>
  <c r="AR13" i="6"/>
  <c r="AS58" i="6" s="1"/>
  <c r="AR77" i="10"/>
  <c r="AR73" i="10"/>
  <c r="AR72" i="10"/>
  <c r="AR67" i="10"/>
  <c r="AR52" i="10"/>
  <c r="AR49" i="10"/>
  <c r="AR44" i="10"/>
  <c r="AR47" i="10" s="1"/>
  <c r="AR36" i="10"/>
  <c r="AR17" i="10"/>
  <c r="AR14" i="10"/>
  <c r="AR7" i="10"/>
  <c r="AR40" i="10"/>
  <c r="AR131" i="9"/>
  <c r="AR133" i="9" s="1"/>
  <c r="AR114" i="9"/>
  <c r="AR113" i="9"/>
  <c r="AR112" i="9"/>
  <c r="AR111" i="9"/>
  <c r="AR110" i="9"/>
  <c r="AR106" i="9"/>
  <c r="AR105" i="9"/>
  <c r="AR104" i="9"/>
  <c r="AR103" i="9"/>
  <c r="AR102" i="9"/>
  <c r="AR97" i="9"/>
  <c r="AR93" i="9"/>
  <c r="AR89" i="9"/>
  <c r="AR87" i="9"/>
  <c r="AR79" i="9"/>
  <c r="AR77" i="9"/>
  <c r="AR76" i="9"/>
  <c r="AR74" i="9"/>
  <c r="AR68" i="9"/>
  <c r="AR54" i="9"/>
  <c r="AR47" i="9"/>
  <c r="AR43" i="9"/>
  <c r="AR40" i="9"/>
  <c r="AR24" i="9"/>
  <c r="AS49" i="9" l="1"/>
  <c r="AS25" i="6"/>
  <c r="AS31" i="6"/>
  <c r="AS32" i="6"/>
  <c r="AR41" i="9"/>
  <c r="AR95" i="9"/>
  <c r="AR71" i="9"/>
  <c r="AR91" i="9"/>
  <c r="AR75" i="10"/>
  <c r="AR65" i="9"/>
  <c r="AR58" i="9"/>
  <c r="AR51" i="9"/>
  <c r="AR54" i="6"/>
  <c r="AR55" i="6"/>
  <c r="AR68" i="6"/>
  <c r="AR51" i="10"/>
  <c r="AR61" i="10"/>
  <c r="AR55" i="9"/>
  <c r="AR44" i="9"/>
  <c r="AR61" i="9"/>
  <c r="AR132" i="9"/>
  <c r="AR16" i="9"/>
  <c r="AR14" i="9" s="1"/>
  <c r="AR78" i="9"/>
  <c r="AR137" i="9"/>
  <c r="AT49" i="9" l="1"/>
  <c r="AU49" i="9" s="1"/>
  <c r="AU51" i="9" s="1"/>
  <c r="AS51" i="9"/>
  <c r="AS47" i="6"/>
  <c r="AS40" i="6"/>
  <c r="AT42" i="6" s="1"/>
  <c r="AR63" i="9"/>
  <c r="AR64" i="9" s="1"/>
  <c r="AS82" i="9"/>
  <c r="AR64" i="10"/>
  <c r="AR63" i="10"/>
  <c r="AR69" i="6"/>
  <c r="AT51" i="9" l="1"/>
  <c r="AB106" i="9"/>
  <c r="AF106" i="9"/>
  <c r="AG106" i="9"/>
  <c r="AJ106" i="9"/>
  <c r="AN106" i="9"/>
  <c r="AQ11" i="6"/>
  <c r="AQ32" i="10"/>
  <c r="AQ33" i="10" s="1"/>
  <c r="AQ28" i="10"/>
  <c r="AQ36" i="10" s="1"/>
  <c r="AQ25" i="10"/>
  <c r="AQ20" i="10"/>
  <c r="AQ21" i="10" s="1"/>
  <c r="AO76" i="9"/>
  <c r="AQ7" i="10"/>
  <c r="AQ14" i="10"/>
  <c r="AQ17" i="10"/>
  <c r="AQ40" i="10"/>
  <c r="AQ49" i="10"/>
  <c r="AQ52" i="10"/>
  <c r="AQ13" i="6"/>
  <c r="AQ18" i="6"/>
  <c r="AU33" i="6" s="1"/>
  <c r="AU154" i="9" s="1"/>
  <c r="AQ29" i="6"/>
  <c r="AQ30" i="6"/>
  <c r="AQ37" i="6"/>
  <c r="AQ153" i="9" s="1"/>
  <c r="AQ38" i="6"/>
  <c r="AQ44" i="6"/>
  <c r="AQ45" i="6"/>
  <c r="AQ34" i="9"/>
  <c r="AQ68" i="9"/>
  <c r="AQ76" i="9"/>
  <c r="AQ77" i="9"/>
  <c r="AQ86" i="9"/>
  <c r="AQ87" i="9"/>
  <c r="AQ97" i="9"/>
  <c r="AU98" i="9" s="1"/>
  <c r="AQ131" i="9"/>
  <c r="AQ132" i="9" s="1"/>
  <c r="AO34" i="9"/>
  <c r="AP34" i="9"/>
  <c r="AO18" i="9"/>
  <c r="AO10" i="9" l="1"/>
  <c r="AO146" i="9" s="1"/>
  <c r="AO147" i="9" s="1"/>
  <c r="AS74" i="9"/>
  <c r="AR57" i="6"/>
  <c r="AR51" i="6"/>
  <c r="AR50" i="6"/>
  <c r="AR58" i="6"/>
  <c r="AR31" i="6"/>
  <c r="AR32" i="6"/>
  <c r="AR25" i="6"/>
  <c r="AQ68" i="6"/>
  <c r="AP18" i="9"/>
  <c r="AT74" i="9" s="1"/>
  <c r="AQ61" i="10"/>
  <c r="AQ63" i="10" s="1"/>
  <c r="AQ27" i="10"/>
  <c r="AQ54" i="6"/>
  <c r="AQ51" i="6"/>
  <c r="AU52" i="6" s="1"/>
  <c r="AQ50" i="6"/>
  <c r="AQ133" i="9"/>
  <c r="AP76" i="9"/>
  <c r="AJ137" i="9"/>
  <c r="AJ138" i="9" s="1"/>
  <c r="AS151" i="9" l="1"/>
  <c r="AO151" i="9"/>
  <c r="AO31" i="9"/>
  <c r="AP10" i="9"/>
  <c r="AP146" i="9" s="1"/>
  <c r="AP147" i="9" s="1"/>
  <c r="AQ18" i="9"/>
  <c r="AU74" i="9" s="1"/>
  <c r="AR40" i="6"/>
  <c r="AS42" i="6" s="1"/>
  <c r="AR47" i="6"/>
  <c r="AQ69" i="6"/>
  <c r="AQ64" i="10"/>
  <c r="AP44" i="6"/>
  <c r="BC18" i="9" l="1"/>
  <c r="AT151" i="9"/>
  <c r="AP151" i="9"/>
  <c r="AP31" i="9"/>
  <c r="BC43" i="9"/>
  <c r="BE18" i="9"/>
  <c r="AQ10" i="9"/>
  <c r="AQ146" i="9" s="1"/>
  <c r="AQ147" i="9" s="1"/>
  <c r="AQ43" i="9"/>
  <c r="AU45" i="9" s="1"/>
  <c r="AQ134" i="9"/>
  <c r="AQ79" i="9"/>
  <c r="AQ74" i="9"/>
  <c r="AP25" i="10"/>
  <c r="AP20" i="10"/>
  <c r="AU151" i="9" l="1"/>
  <c r="AQ151" i="9"/>
  <c r="AQ31" i="9"/>
  <c r="AJ24" i="9"/>
  <c r="AL24" i="9"/>
  <c r="AQ24" i="9"/>
  <c r="AQ26" i="9"/>
  <c r="AM24" i="9"/>
  <c r="AP52" i="10" l="1"/>
  <c r="AP49" i="10"/>
  <c r="AP32" i="10"/>
  <c r="AP33" i="10" s="1"/>
  <c r="AP27" i="10"/>
  <c r="AP36" i="10"/>
  <c r="AP21" i="10"/>
  <c r="AP61" i="10"/>
  <c r="AP17" i="10"/>
  <c r="AP14" i="10"/>
  <c r="AP7" i="10"/>
  <c r="AP40" i="10"/>
  <c r="AP51" i="6"/>
  <c r="AT52" i="6" s="1"/>
  <c r="AP50" i="6"/>
  <c r="AP45" i="6"/>
  <c r="AP38" i="6"/>
  <c r="AP37" i="6"/>
  <c r="AP153" i="9" s="1"/>
  <c r="AP30" i="6"/>
  <c r="AP29" i="6"/>
  <c r="AP18" i="6"/>
  <c r="AP13" i="6"/>
  <c r="AP131" i="9"/>
  <c r="AP77" i="9"/>
  <c r="AP68" i="9"/>
  <c r="Y29" i="6"/>
  <c r="Z29" i="6"/>
  <c r="AA29" i="6"/>
  <c r="AB29" i="6"/>
  <c r="AC29" i="6"/>
  <c r="AD29" i="6"/>
  <c r="AE29" i="6"/>
  <c r="AF29" i="6"/>
  <c r="AG29" i="6"/>
  <c r="AH29" i="6"/>
  <c r="AI29" i="6"/>
  <c r="AJ29" i="6"/>
  <c r="AK29" i="6"/>
  <c r="AL29" i="6"/>
  <c r="AM29" i="6"/>
  <c r="AN29" i="6"/>
  <c r="Y30" i="6"/>
  <c r="Z30" i="6"/>
  <c r="AA30" i="6"/>
  <c r="AB30" i="6"/>
  <c r="AC30" i="6"/>
  <c r="AD30" i="6"/>
  <c r="AE30" i="6"/>
  <c r="AF30" i="6"/>
  <c r="AG30" i="6"/>
  <c r="AH30" i="6"/>
  <c r="AI30" i="6"/>
  <c r="AJ30" i="6"/>
  <c r="AK30" i="6"/>
  <c r="AL30" i="6"/>
  <c r="AM30" i="6"/>
  <c r="AN30" i="6"/>
  <c r="X29" i="6"/>
  <c r="AO30" i="6"/>
  <c r="AO29" i="6"/>
  <c r="AT33" i="6" l="1"/>
  <c r="AT154" i="9" s="1"/>
  <c r="AQ31" i="6"/>
  <c r="AQ32" i="6"/>
  <c r="AP133" i="9"/>
  <c r="AP132" i="9"/>
  <c r="AP68" i="6"/>
  <c r="AP54" i="6"/>
  <c r="AQ47" i="6" l="1"/>
  <c r="AU48" i="6" s="1"/>
  <c r="AP69" i="6"/>
  <c r="AR26" i="9" l="1"/>
  <c r="AN26" i="9"/>
  <c r="AK24" i="9"/>
  <c r="AN24" i="9"/>
  <c r="AX40" i="10" l="1"/>
  <c r="AM24" i="6"/>
  <c r="AM23" i="6"/>
  <c r="AN24" i="6"/>
  <c r="AN23" i="6"/>
  <c r="AO23" i="6"/>
  <c r="AO24" i="6"/>
  <c r="AO55" i="10"/>
  <c r="AO50" i="10"/>
  <c r="AO46" i="10"/>
  <c r="AO43" i="10"/>
  <c r="AS73" i="10" s="1"/>
  <c r="AO42" i="10"/>
  <c r="AS72" i="10" s="1"/>
  <c r="AO25" i="10"/>
  <c r="AO20" i="10"/>
  <c r="AO21" i="10" s="1"/>
  <c r="AO58" i="9"/>
  <c r="AO56" i="9"/>
  <c r="AO50" i="9"/>
  <c r="AO52" i="9"/>
  <c r="AO46" i="9"/>
  <c r="AO39" i="9"/>
  <c r="AO38" i="9"/>
  <c r="AO37" i="9"/>
  <c r="AO36" i="9"/>
  <c r="AO35" i="9"/>
  <c r="AO51" i="6"/>
  <c r="AS52" i="6" s="1"/>
  <c r="AO50" i="6"/>
  <c r="AO45" i="6"/>
  <c r="AO44" i="6"/>
  <c r="AO38" i="6"/>
  <c r="AO37" i="6"/>
  <c r="AO18" i="6"/>
  <c r="AO13" i="6"/>
  <c r="AO52" i="10"/>
  <c r="AO49" i="10"/>
  <c r="AO36" i="10"/>
  <c r="AO32" i="10"/>
  <c r="AO33" i="10" s="1"/>
  <c r="AO17" i="10"/>
  <c r="AO14" i="10"/>
  <c r="AO7" i="10"/>
  <c r="AO40" i="10"/>
  <c r="AO131" i="9"/>
  <c r="AO95" i="9"/>
  <c r="AO87" i="9"/>
  <c r="AO86" i="9"/>
  <c r="AO77" i="9"/>
  <c r="AO68" i="9"/>
  <c r="AS93" i="9" l="1"/>
  <c r="AS104" i="9"/>
  <c r="AS103" i="9"/>
  <c r="AS106" i="9"/>
  <c r="AS105" i="9"/>
  <c r="AS89" i="9"/>
  <c r="AS33" i="6"/>
  <c r="AS154" i="9" s="1"/>
  <c r="AS102" i="9"/>
  <c r="AP15" i="9"/>
  <c r="AP42" i="10"/>
  <c r="AQ42" i="10" s="1"/>
  <c r="AU72" i="10" s="1"/>
  <c r="AP43" i="10"/>
  <c r="AP46" i="10"/>
  <c r="AQ46" i="10" s="1"/>
  <c r="AP50" i="10"/>
  <c r="AQ50" i="10" s="1"/>
  <c r="AP55" i="10"/>
  <c r="AQ55" i="10" s="1"/>
  <c r="AO54" i="10"/>
  <c r="AP37" i="9"/>
  <c r="AP38" i="9"/>
  <c r="AP36" i="9"/>
  <c r="AP39" i="9"/>
  <c r="AP46" i="9"/>
  <c r="AP50" i="9"/>
  <c r="AP35" i="9"/>
  <c r="AP52" i="9"/>
  <c r="AQ52" i="9" s="1"/>
  <c r="AO93" i="9"/>
  <c r="AP56" i="9"/>
  <c r="AQ56" i="9" s="1"/>
  <c r="AP31" i="6"/>
  <c r="AP32" i="6"/>
  <c r="AO47" i="9"/>
  <c r="AO68" i="6"/>
  <c r="AO79" i="9"/>
  <c r="AO61" i="6"/>
  <c r="AS62" i="6" s="1"/>
  <c r="AO114" i="9"/>
  <c r="AS121" i="9" s="1"/>
  <c r="AO43" i="9"/>
  <c r="AS45" i="9" s="1"/>
  <c r="AO74" i="9"/>
  <c r="AO110" i="9"/>
  <c r="AS117" i="9" s="1"/>
  <c r="AO113" i="9"/>
  <c r="AS120" i="9" s="1"/>
  <c r="AO44" i="10"/>
  <c r="AO47" i="10" s="1"/>
  <c r="AO51" i="10" s="1"/>
  <c r="AO54" i="9"/>
  <c r="AO67" i="10"/>
  <c r="AO134" i="9"/>
  <c r="AO61" i="10"/>
  <c r="AO64" i="10" s="1"/>
  <c r="AO54" i="6"/>
  <c r="AO55" i="6"/>
  <c r="AO27" i="10"/>
  <c r="AO111" i="9"/>
  <c r="AS118" i="9" s="1"/>
  <c r="AO112" i="9"/>
  <c r="AS119" i="9" s="1"/>
  <c r="AO132" i="9"/>
  <c r="AO40" i="9"/>
  <c r="AO133" i="9"/>
  <c r="BC36" i="9" l="1"/>
  <c r="BE36" i="9" s="1"/>
  <c r="BC56" i="9"/>
  <c r="BE56" i="9" s="1"/>
  <c r="AT73" i="10"/>
  <c r="AQ43" i="10"/>
  <c r="AU73" i="10" s="1"/>
  <c r="AT104" i="9"/>
  <c r="AT89" i="9"/>
  <c r="AT103" i="9"/>
  <c r="AT102" i="9"/>
  <c r="AT106" i="9"/>
  <c r="AT105" i="9"/>
  <c r="AT72" i="10"/>
  <c r="AU93" i="9"/>
  <c r="AT93" i="9"/>
  <c r="AS26" i="9"/>
  <c r="AS84" i="9"/>
  <c r="AS107" i="9"/>
  <c r="AO41" i="9"/>
  <c r="AQ50" i="9"/>
  <c r="AQ35" i="9"/>
  <c r="AQ46" i="9"/>
  <c r="AU89" i="9" s="1"/>
  <c r="AQ38" i="9"/>
  <c r="AU105" i="9" s="1"/>
  <c r="AQ37" i="9"/>
  <c r="AQ36" i="9"/>
  <c r="AU103" i="9" s="1"/>
  <c r="AQ39" i="9"/>
  <c r="AU106" i="9" s="1"/>
  <c r="AO26" i="9"/>
  <c r="AP44" i="10"/>
  <c r="AP47" i="10" s="1"/>
  <c r="AP51" i="10" s="1"/>
  <c r="AP47" i="6"/>
  <c r="AT48" i="6" s="1"/>
  <c r="AQ15" i="9"/>
  <c r="AP57" i="9"/>
  <c r="AP54" i="10"/>
  <c r="AO55" i="9"/>
  <c r="AP93" i="9"/>
  <c r="AP74" i="9"/>
  <c r="AP79" i="9"/>
  <c r="AP134" i="9"/>
  <c r="AP54" i="9"/>
  <c r="AP114" i="9"/>
  <c r="AT121" i="9" s="1"/>
  <c r="AP110" i="9"/>
  <c r="AT117" i="9" s="1"/>
  <c r="AP40" i="9"/>
  <c r="AP113" i="9"/>
  <c r="AT120" i="9" s="1"/>
  <c r="AP112" i="9"/>
  <c r="AT119" i="9" s="1"/>
  <c r="AP67" i="10"/>
  <c r="AP111" i="9"/>
  <c r="AT118" i="9" s="1"/>
  <c r="AP61" i="6"/>
  <c r="AT62" i="6" s="1"/>
  <c r="AO69" i="6"/>
  <c r="AO24" i="9"/>
  <c r="AO91" i="9"/>
  <c r="AU102" i="9" l="1"/>
  <c r="BC35" i="9"/>
  <c r="BE35" i="9" s="1"/>
  <c r="AU104" i="9"/>
  <c r="BC37" i="9"/>
  <c r="BE37" i="9" s="1"/>
  <c r="BC38" i="9"/>
  <c r="BE38" i="9" s="1"/>
  <c r="BC39" i="9"/>
  <c r="BE39" i="9" s="1"/>
  <c r="AQ44" i="10"/>
  <c r="AQ47" i="10" s="1"/>
  <c r="AQ51" i="10" s="1"/>
  <c r="AT68" i="10"/>
  <c r="AT58" i="9"/>
  <c r="AT95" i="9"/>
  <c r="AT107" i="9"/>
  <c r="AT84" i="9"/>
  <c r="AS68" i="10"/>
  <c r="AP41" i="9"/>
  <c r="AR68" i="10"/>
  <c r="AQ110" i="9"/>
  <c r="AU117" i="9" s="1"/>
  <c r="AQ111" i="9"/>
  <c r="AU118" i="9" s="1"/>
  <c r="AQ112" i="9"/>
  <c r="AU119" i="9" s="1"/>
  <c r="AQ113" i="9"/>
  <c r="AU120" i="9" s="1"/>
  <c r="AQ61" i="6"/>
  <c r="AU62" i="6" s="1"/>
  <c r="AQ54" i="10"/>
  <c r="AP58" i="9"/>
  <c r="AQ114" i="9"/>
  <c r="AU121" i="9" s="1"/>
  <c r="AQ40" i="9"/>
  <c r="AP95" i="9"/>
  <c r="AP24" i="9"/>
  <c r="AQ57" i="9"/>
  <c r="AQ54" i="9"/>
  <c r="AQ93" i="9"/>
  <c r="AQ47" i="9"/>
  <c r="AQ67" i="10"/>
  <c r="AQ68" i="10"/>
  <c r="AN71" i="9"/>
  <c r="AN137" i="9"/>
  <c r="AP91" i="9"/>
  <c r="AP55" i="9"/>
  <c r="AP26" i="9"/>
  <c r="AO13" i="9"/>
  <c r="AN72" i="10"/>
  <c r="AN76" i="10"/>
  <c r="AN32" i="10"/>
  <c r="AN33" i="10" s="1"/>
  <c r="AN25" i="10"/>
  <c r="AN27" i="10" s="1"/>
  <c r="AN20" i="10"/>
  <c r="AN21" i="10" s="1"/>
  <c r="AN7" i="10"/>
  <c r="AN40" i="10"/>
  <c r="AN14" i="10"/>
  <c r="AN17" i="10"/>
  <c r="AN36" i="10"/>
  <c r="AN49" i="10"/>
  <c r="AN52" i="10"/>
  <c r="AN67" i="10"/>
  <c r="AN73" i="10"/>
  <c r="AN75" i="10"/>
  <c r="AN77" i="10"/>
  <c r="AU95" i="9" l="1"/>
  <c r="AU58" i="9"/>
  <c r="AQ41" i="9"/>
  <c r="AU107" i="9"/>
  <c r="AU84" i="9"/>
  <c r="AS71" i="9"/>
  <c r="AN138" i="9"/>
  <c r="AR138" i="9"/>
  <c r="AQ95" i="9"/>
  <c r="AQ56" i="10"/>
  <c r="AQ77" i="10"/>
  <c r="AP13" i="9"/>
  <c r="AQ55" i="9"/>
  <c r="AQ91" i="9"/>
  <c r="AQ58" i="9"/>
  <c r="AO71" i="9"/>
  <c r="AO137" i="9"/>
  <c r="AS138" i="9" s="1"/>
  <c r="AP87" i="9"/>
  <c r="AP86" i="9"/>
  <c r="AP97" i="9"/>
  <c r="AT98" i="9" s="1"/>
  <c r="AP63" i="10"/>
  <c r="AP64" i="10"/>
  <c r="AP43" i="9"/>
  <c r="AT45" i="9" s="1"/>
  <c r="AP47" i="9"/>
  <c r="AO61" i="9"/>
  <c r="AS81" i="9" s="1"/>
  <c r="AO44" i="9"/>
  <c r="AO78" i="9"/>
  <c r="AO76" i="10"/>
  <c r="AO57" i="6"/>
  <c r="AO65" i="9"/>
  <c r="AO72" i="9"/>
  <c r="AN61" i="10"/>
  <c r="AN64" i="10" s="1"/>
  <c r="AN44" i="10"/>
  <c r="AN47" i="10" s="1"/>
  <c r="AN51" i="10" s="1"/>
  <c r="AT71" i="9" l="1"/>
  <c r="AQ13" i="9"/>
  <c r="AU71" i="9" s="1"/>
  <c r="AP40" i="6"/>
  <c r="AT41" i="6" s="1"/>
  <c r="AP71" i="9"/>
  <c r="AP65" i="9"/>
  <c r="AP61" i="9"/>
  <c r="AT81" i="9" s="1"/>
  <c r="AP57" i="6"/>
  <c r="AP137" i="9"/>
  <c r="AT138" i="9" s="1"/>
  <c r="AP72" i="9"/>
  <c r="AP76" i="10"/>
  <c r="AP58" i="6"/>
  <c r="AP78" i="9"/>
  <c r="AP44" i="9"/>
  <c r="AO63" i="9"/>
  <c r="AO64" i="9" s="1"/>
  <c r="AN18" i="6"/>
  <c r="AN13" i="6"/>
  <c r="AO58" i="6" s="1"/>
  <c r="AN37" i="6"/>
  <c r="AN38" i="6"/>
  <c r="AN44" i="6"/>
  <c r="AN45" i="6"/>
  <c r="AN50" i="6"/>
  <c r="AN51" i="6"/>
  <c r="AR52" i="6" s="1"/>
  <c r="AN57" i="6"/>
  <c r="AN61" i="6"/>
  <c r="AR62" i="6" s="1"/>
  <c r="AN61" i="9"/>
  <c r="AR81" i="9" s="1"/>
  <c r="AN49" i="9"/>
  <c r="AN40" i="9"/>
  <c r="AN41" i="9" s="1"/>
  <c r="AN114" i="9"/>
  <c r="AR121" i="9" s="1"/>
  <c r="AN43" i="9"/>
  <c r="AR45" i="9" s="1"/>
  <c r="AN44" i="9"/>
  <c r="AN47" i="9"/>
  <c r="AN54" i="9"/>
  <c r="AN58" i="9"/>
  <c r="AN65" i="9"/>
  <c r="AN68" i="9"/>
  <c r="AN72" i="9"/>
  <c r="AN74" i="9"/>
  <c r="AN76" i="9"/>
  <c r="AN77" i="9"/>
  <c r="AN78" i="9"/>
  <c r="AN79" i="9"/>
  <c r="AN86" i="9"/>
  <c r="AN87" i="9"/>
  <c r="AN89" i="9"/>
  <c r="AN93" i="9"/>
  <c r="AN95" i="9"/>
  <c r="AN97" i="9"/>
  <c r="AR98" i="9" s="1"/>
  <c r="AN102" i="9"/>
  <c r="AN103" i="9"/>
  <c r="AN104" i="9"/>
  <c r="AN105" i="9"/>
  <c r="AN111" i="9"/>
  <c r="AR118" i="9" s="1"/>
  <c r="AN112" i="9"/>
  <c r="AR119" i="9" s="1"/>
  <c r="AN113" i="9"/>
  <c r="AR120" i="9" s="1"/>
  <c r="AN131" i="9"/>
  <c r="AN133" i="9" s="1"/>
  <c r="AL58" i="9"/>
  <c r="AM58" i="9"/>
  <c r="AL13" i="6"/>
  <c r="AK13" i="6"/>
  <c r="AJ13" i="6"/>
  <c r="AI13" i="6"/>
  <c r="AH13" i="6"/>
  <c r="AG13" i="6"/>
  <c r="AF13" i="6"/>
  <c r="AE13" i="6"/>
  <c r="AM13" i="6"/>
  <c r="AQ61" i="9" l="1"/>
  <c r="AU81" i="9" s="1"/>
  <c r="AQ44" i="9"/>
  <c r="AR33" i="6"/>
  <c r="AR154" i="9" s="1"/>
  <c r="AR107" i="9"/>
  <c r="AR84" i="9"/>
  <c r="AR72" i="9"/>
  <c r="AQ40" i="6"/>
  <c r="AU41" i="6" s="1"/>
  <c r="AQ137" i="9"/>
  <c r="AU138" i="9" s="1"/>
  <c r="AQ58" i="6"/>
  <c r="AQ76" i="10"/>
  <c r="AQ72" i="9"/>
  <c r="AQ78" i="9"/>
  <c r="AQ75" i="10"/>
  <c r="AQ71" i="9"/>
  <c r="AQ57" i="6"/>
  <c r="AQ65" i="9"/>
  <c r="AO82" i="9"/>
  <c r="AP63" i="9"/>
  <c r="AP64" i="9" s="1"/>
  <c r="AP82" i="9"/>
  <c r="AN58" i="6"/>
  <c r="AN55" i="9"/>
  <c r="AO49" i="9"/>
  <c r="AO25" i="6"/>
  <c r="AO31" i="6"/>
  <c r="AO32" i="6"/>
  <c r="AN51" i="9"/>
  <c r="AN91" i="9"/>
  <c r="AN68" i="6"/>
  <c r="AN132" i="9"/>
  <c r="AN54" i="6"/>
  <c r="AN55" i="6"/>
  <c r="AN63" i="9"/>
  <c r="AN64" i="9" s="1"/>
  <c r="AN110" i="9"/>
  <c r="AR117" i="9" s="1"/>
  <c r="AJ97" i="9"/>
  <c r="AN98" i="9" s="1"/>
  <c r="AM52" i="10"/>
  <c r="AM49" i="10"/>
  <c r="AM32" i="10"/>
  <c r="AM33" i="10" s="1"/>
  <c r="AM25" i="10"/>
  <c r="AM27" i="10" s="1"/>
  <c r="AM20" i="10"/>
  <c r="AM21" i="10" s="1"/>
  <c r="AM36" i="10"/>
  <c r="AM17" i="10"/>
  <c r="AM14" i="10"/>
  <c r="K12" i="16"/>
  <c r="J12" i="16"/>
  <c r="AQ63" i="9" l="1"/>
  <c r="AQ64" i="9" s="1"/>
  <c r="AR82" i="9"/>
  <c r="AQ42" i="6"/>
  <c r="AR42" i="6"/>
  <c r="AQ82" i="9"/>
  <c r="AP49" i="9"/>
  <c r="AN69" i="6"/>
  <c r="AO51" i="9"/>
  <c r="AO40" i="6"/>
  <c r="AO47" i="6"/>
  <c r="AS48" i="6" s="1"/>
  <c r="N11" i="16"/>
  <c r="M11" i="16"/>
  <c r="K11" i="16"/>
  <c r="J11" i="16"/>
  <c r="M7" i="16"/>
  <c r="N7" i="16"/>
  <c r="K7" i="16"/>
  <c r="J7" i="16"/>
  <c r="H11" i="16"/>
  <c r="AP42" i="6" l="1"/>
  <c r="AS41" i="6"/>
  <c r="AQ49" i="9"/>
  <c r="AP51" i="9"/>
  <c r="AM58" i="6"/>
  <c r="AM57" i="6"/>
  <c r="AM51" i="6"/>
  <c r="AQ52" i="6" s="1"/>
  <c r="AM50" i="6"/>
  <c r="AM45" i="6"/>
  <c r="AM44" i="6"/>
  <c r="AM38" i="6"/>
  <c r="AM37" i="6"/>
  <c r="AM18" i="6"/>
  <c r="AM1" i="6"/>
  <c r="AM61" i="10"/>
  <c r="AM7" i="10"/>
  <c r="AM40" i="10"/>
  <c r="AM131" i="9"/>
  <c r="AM134" i="9" s="1"/>
  <c r="AM97" i="9"/>
  <c r="AQ98" i="9" s="1"/>
  <c r="AM95" i="9"/>
  <c r="AM93" i="9"/>
  <c r="AM87" i="9"/>
  <c r="AM79" i="9"/>
  <c r="AM78" i="9"/>
  <c r="AM77" i="9"/>
  <c r="AM76" i="9"/>
  <c r="AM74" i="9"/>
  <c r="AM72" i="9"/>
  <c r="AM71" i="9"/>
  <c r="AM68" i="9"/>
  <c r="AM61" i="9"/>
  <c r="AM44" i="9"/>
  <c r="AM43" i="9"/>
  <c r="AQ45" i="9" s="1"/>
  <c r="AQ51" i="9" l="1"/>
  <c r="AQ81" i="9"/>
  <c r="AQ33" i="6"/>
  <c r="AQ154" i="9" s="1"/>
  <c r="AN82" i="9"/>
  <c r="AN25" i="6"/>
  <c r="AN32" i="6"/>
  <c r="AN31" i="6"/>
  <c r="AM68" i="6"/>
  <c r="AM54" i="6"/>
  <c r="AM55" i="6"/>
  <c r="AM64" i="10"/>
  <c r="AM133" i="9"/>
  <c r="AL50" i="10"/>
  <c r="AM50" i="10" s="1"/>
  <c r="AL52" i="10"/>
  <c r="AL49" i="10"/>
  <c r="AL32" i="10"/>
  <c r="AL25" i="10"/>
  <c r="AL22" i="10"/>
  <c r="AL20" i="10"/>
  <c r="AM69" i="6" l="1"/>
  <c r="AN40" i="6"/>
  <c r="AN47" i="6"/>
  <c r="AR48" i="6" s="1"/>
  <c r="AJ131" i="9"/>
  <c r="AJ134" i="9" s="1"/>
  <c r="AK131" i="9"/>
  <c r="AK134" i="9" s="1"/>
  <c r="AL131" i="9"/>
  <c r="AL134" i="9" s="1"/>
  <c r="AL58" i="6"/>
  <c r="AL57" i="6"/>
  <c r="AL51" i="6"/>
  <c r="AP52" i="6" s="1"/>
  <c r="AL50" i="6"/>
  <c r="AL45" i="6"/>
  <c r="AL44" i="6"/>
  <c r="AL38" i="6"/>
  <c r="AL37" i="6"/>
  <c r="AL18" i="6"/>
  <c r="AL1" i="6"/>
  <c r="AL36" i="10"/>
  <c r="AL33" i="10"/>
  <c r="AL27" i="10"/>
  <c r="AL61" i="10"/>
  <c r="AL17" i="10"/>
  <c r="AL14" i="10"/>
  <c r="AL7" i="10"/>
  <c r="AL1" i="10"/>
  <c r="AL40" i="10" s="1"/>
  <c r="AL95" i="9"/>
  <c r="AL93" i="9"/>
  <c r="AL87" i="9"/>
  <c r="AL79" i="9"/>
  <c r="AL78" i="9"/>
  <c r="AL77" i="9"/>
  <c r="AL76" i="9"/>
  <c r="AL74" i="9"/>
  <c r="AL72" i="9"/>
  <c r="AL68" i="9"/>
  <c r="AL61" i="9"/>
  <c r="AL44" i="9"/>
  <c r="AL43" i="9"/>
  <c r="AP45" i="9" s="1"/>
  <c r="AK55" i="10"/>
  <c r="AO42" i="6" l="1"/>
  <c r="AR41" i="6"/>
  <c r="AP33" i="6"/>
  <c r="AP154" i="9" s="1"/>
  <c r="AM82" i="9"/>
  <c r="AP81" i="9"/>
  <c r="AM25" i="6"/>
  <c r="AL55" i="10"/>
  <c r="AL76" i="10" s="1"/>
  <c r="AL68" i="6"/>
  <c r="AM32" i="6"/>
  <c r="AM31" i="6"/>
  <c r="AL133" i="9"/>
  <c r="AK133" i="9"/>
  <c r="AJ132" i="9"/>
  <c r="AL55" i="6"/>
  <c r="AL54" i="6"/>
  <c r="AL33" i="6"/>
  <c r="AL63" i="10"/>
  <c r="AL21" i="10"/>
  <c r="AK46" i="10"/>
  <c r="AK43" i="10"/>
  <c r="AO73" i="10" s="1"/>
  <c r="AK42" i="10"/>
  <c r="AO72" i="10" s="1"/>
  <c r="AK25" i="10"/>
  <c r="AK32" i="10"/>
  <c r="AK20" i="10"/>
  <c r="AL69" i="6" l="1"/>
  <c r="AM55" i="10"/>
  <c r="AM76" i="10" s="1"/>
  <c r="AL42" i="10"/>
  <c r="AL43" i="10"/>
  <c r="AL46" i="10"/>
  <c r="AM46" i="10" s="1"/>
  <c r="AM47" i="6"/>
  <c r="AQ48" i="6" s="1"/>
  <c r="AM40" i="6"/>
  <c r="AK50" i="9"/>
  <c r="AK52" i="9"/>
  <c r="AK38" i="9"/>
  <c r="AK39" i="9"/>
  <c r="AK37" i="9"/>
  <c r="AK36" i="9"/>
  <c r="AK35" i="9"/>
  <c r="AK54" i="10"/>
  <c r="AK7" i="10"/>
  <c r="AJ16" i="9"/>
  <c r="AK15" i="9"/>
  <c r="AK58" i="6"/>
  <c r="AK57" i="6"/>
  <c r="AK51" i="6"/>
  <c r="AO52" i="6" s="1"/>
  <c r="AK50" i="6"/>
  <c r="AK45" i="6"/>
  <c r="AK44" i="6"/>
  <c r="AK38" i="6"/>
  <c r="AK37" i="6"/>
  <c r="AK18" i="6"/>
  <c r="AK1" i="6"/>
  <c r="AK76" i="10"/>
  <c r="AK61" i="10"/>
  <c r="AK52" i="10"/>
  <c r="AK49" i="10"/>
  <c r="AK44" i="10"/>
  <c r="AK47" i="10" s="1"/>
  <c r="AK36" i="10"/>
  <c r="AK33" i="10"/>
  <c r="AK27" i="10"/>
  <c r="AK21" i="10"/>
  <c r="AK17" i="10"/>
  <c r="AK14" i="10"/>
  <c r="AK1" i="10"/>
  <c r="AK40" i="10" s="1"/>
  <c r="AK93" i="9"/>
  <c r="AK87" i="9"/>
  <c r="AK79" i="9"/>
  <c r="AK78" i="9"/>
  <c r="AK77" i="9"/>
  <c r="AK76" i="9"/>
  <c r="AK74" i="9"/>
  <c r="AK72" i="9"/>
  <c r="AK71" i="9"/>
  <c r="AK68" i="9"/>
  <c r="AK61" i="9"/>
  <c r="AK44" i="9"/>
  <c r="AK43" i="9"/>
  <c r="AO45" i="9" s="1"/>
  <c r="AH68" i="6"/>
  <c r="AG68" i="6"/>
  <c r="AJ14" i="9" l="1"/>
  <c r="AK106" i="9"/>
  <c r="AO106" i="9"/>
  <c r="AN42" i="6"/>
  <c r="AQ41" i="6"/>
  <c r="AK137" i="9"/>
  <c r="AM43" i="10"/>
  <c r="AQ73" i="10" s="1"/>
  <c r="AP73" i="10"/>
  <c r="AM42" i="10"/>
  <c r="AQ72" i="10" s="1"/>
  <c r="AP72" i="10"/>
  <c r="AG69" i="6"/>
  <c r="AH69" i="6"/>
  <c r="AO102" i="9"/>
  <c r="AO103" i="9"/>
  <c r="AO104" i="9"/>
  <c r="AL82" i="9"/>
  <c r="AO81" i="9"/>
  <c r="AO33" i="6"/>
  <c r="AO105" i="9"/>
  <c r="AK51" i="10"/>
  <c r="AK97" i="9"/>
  <c r="AL44" i="10"/>
  <c r="AL47" i="10" s="1"/>
  <c r="AL51" i="10" s="1"/>
  <c r="AL50" i="9"/>
  <c r="AL15" i="9"/>
  <c r="AK68" i="6"/>
  <c r="AL31" i="6"/>
  <c r="AL32" i="6"/>
  <c r="AK75" i="10"/>
  <c r="AL54" i="10"/>
  <c r="AK114" i="9"/>
  <c r="AO121" i="9" s="1"/>
  <c r="AL39" i="9"/>
  <c r="AK112" i="9"/>
  <c r="AO119" i="9" s="1"/>
  <c r="AL37" i="9"/>
  <c r="AK105" i="9"/>
  <c r="AL38" i="9"/>
  <c r="AK104" i="9"/>
  <c r="AK16" i="9"/>
  <c r="AK54" i="9"/>
  <c r="AL52" i="9"/>
  <c r="AM52" i="9" s="1"/>
  <c r="AM54" i="9" s="1"/>
  <c r="AK103" i="9"/>
  <c r="AL36" i="9"/>
  <c r="AK102" i="9"/>
  <c r="AL35" i="9"/>
  <c r="AK63" i="10"/>
  <c r="AK113" i="9"/>
  <c r="AO120" i="9" s="1"/>
  <c r="AK40" i="9"/>
  <c r="AK41" i="9" s="1"/>
  <c r="AK111" i="9"/>
  <c r="AO118" i="9" s="1"/>
  <c r="AK61" i="6"/>
  <c r="AO62" i="6" s="1"/>
  <c r="AK110" i="9"/>
  <c r="AO117" i="9" s="1"/>
  <c r="AK63" i="9"/>
  <c r="AK64" i="9" s="1"/>
  <c r="AK54" i="6"/>
  <c r="AK55" i="6"/>
  <c r="AK33" i="6"/>
  <c r="AK65" i="9"/>
  <c r="AJ32" i="10"/>
  <c r="AJ25" i="10"/>
  <c r="AJ20" i="10"/>
  <c r="AO107" i="9" l="1"/>
  <c r="AM37" i="9"/>
  <c r="AP106" i="9"/>
  <c r="AM44" i="10"/>
  <c r="AM47" i="10" s="1"/>
  <c r="AM51" i="10" s="1"/>
  <c r="AK14" i="9"/>
  <c r="AL97" i="9"/>
  <c r="AP98" i="9" s="1"/>
  <c r="AL137" i="9"/>
  <c r="AK138" i="9"/>
  <c r="AO138" i="9"/>
  <c r="AK55" i="9"/>
  <c r="AM55" i="9"/>
  <c r="AO84" i="9"/>
  <c r="AP102" i="9"/>
  <c r="AP105" i="9"/>
  <c r="AP103" i="9"/>
  <c r="AP104" i="9"/>
  <c r="AK69" i="6"/>
  <c r="AO77" i="10"/>
  <c r="AO75" i="10"/>
  <c r="AL16" i="9"/>
  <c r="AM50" i="9"/>
  <c r="AK91" i="9"/>
  <c r="AM15" i="9"/>
  <c r="AM39" i="9"/>
  <c r="AK17" i="9"/>
  <c r="AM35" i="9"/>
  <c r="AM38" i="9"/>
  <c r="AM36" i="9"/>
  <c r="AL63" i="9"/>
  <c r="AL64" i="9" s="1"/>
  <c r="AM91" i="9"/>
  <c r="AL75" i="10"/>
  <c r="AM54" i="10"/>
  <c r="AL65" i="9"/>
  <c r="AL47" i="6"/>
  <c r="AP48" i="6" s="1"/>
  <c r="AL40" i="6"/>
  <c r="AL54" i="9"/>
  <c r="AL40" i="9"/>
  <c r="AL41" i="9" s="1"/>
  <c r="AL110" i="9"/>
  <c r="AP117" i="9" s="1"/>
  <c r="AL114" i="9"/>
  <c r="AP121" i="9" s="1"/>
  <c r="AL112" i="9"/>
  <c r="AP119" i="9" s="1"/>
  <c r="AL61" i="6"/>
  <c r="AP62" i="6" s="1"/>
  <c r="AL111" i="9"/>
  <c r="AP118" i="9" s="1"/>
  <c r="AL113" i="9"/>
  <c r="AP120" i="9" s="1"/>
  <c r="AJ49" i="9"/>
  <c r="AJ18" i="6"/>
  <c r="AJ61" i="6"/>
  <c r="AN62" i="6" s="1"/>
  <c r="AJ58" i="6"/>
  <c r="AJ57" i="6"/>
  <c r="AJ51" i="6"/>
  <c r="AN52" i="6" s="1"/>
  <c r="AJ50" i="6"/>
  <c r="AJ45" i="6"/>
  <c r="AJ44" i="6"/>
  <c r="AJ38" i="6"/>
  <c r="AJ37" i="6"/>
  <c r="AJ1" i="6"/>
  <c r="AJ52" i="10"/>
  <c r="AJ49" i="10"/>
  <c r="AJ33" i="10"/>
  <c r="AJ36" i="10"/>
  <c r="AJ21" i="10"/>
  <c r="AJ17" i="10"/>
  <c r="AJ14" i="10"/>
  <c r="AJ7" i="10"/>
  <c r="AJ1" i="10"/>
  <c r="AJ40" i="10" s="1"/>
  <c r="AJ95" i="9"/>
  <c r="AJ93" i="9"/>
  <c r="AJ79" i="9"/>
  <c r="AJ78" i="9"/>
  <c r="AJ77" i="9"/>
  <c r="AJ76" i="9"/>
  <c r="AJ74" i="9"/>
  <c r="AJ72" i="9"/>
  <c r="AJ71" i="9"/>
  <c r="AJ68" i="9"/>
  <c r="AJ61" i="9"/>
  <c r="AJ43" i="9"/>
  <c r="AN45" i="9" s="1"/>
  <c r="AG42" i="9"/>
  <c r="AI32" i="10"/>
  <c r="AI25" i="10"/>
  <c r="AI28" i="10"/>
  <c r="AI20" i="10"/>
  <c r="AK8" i="9" l="1"/>
  <c r="AK29" i="9"/>
  <c r="AQ104" i="9"/>
  <c r="AQ105" i="9"/>
  <c r="AQ102" i="9"/>
  <c r="AQ103" i="9"/>
  <c r="AM56" i="10"/>
  <c r="AP107" i="9"/>
  <c r="AQ106" i="9"/>
  <c r="AM42" i="6"/>
  <c r="AP41" i="6"/>
  <c r="AL14" i="9"/>
  <c r="AM137" i="9"/>
  <c r="AQ138" i="9" s="1"/>
  <c r="AL138" i="9"/>
  <c r="AP138" i="9"/>
  <c r="AL55" i="9"/>
  <c r="AP84" i="9"/>
  <c r="AP77" i="10"/>
  <c r="AP75" i="10"/>
  <c r="AO97" i="9"/>
  <c r="AM16" i="9"/>
  <c r="AM114" i="9"/>
  <c r="AQ121" i="9" s="1"/>
  <c r="AL17" i="9"/>
  <c r="AM61" i="6"/>
  <c r="AQ62" i="6" s="1"/>
  <c r="AM112" i="9"/>
  <c r="AQ119" i="9" s="1"/>
  <c r="AM111" i="9"/>
  <c r="AQ118" i="9" s="1"/>
  <c r="AM40" i="9"/>
  <c r="AM41" i="9" s="1"/>
  <c r="AM110" i="9"/>
  <c r="AQ117" i="9" s="1"/>
  <c r="AM113" i="9"/>
  <c r="AQ120" i="9" s="1"/>
  <c r="AN33" i="6"/>
  <c r="AM65" i="9"/>
  <c r="AM63" i="9"/>
  <c r="AM64" i="9" s="1"/>
  <c r="AK82" i="9"/>
  <c r="AN81" i="9"/>
  <c r="AM75" i="10"/>
  <c r="AK49" i="9"/>
  <c r="AL91" i="9"/>
  <c r="AJ47" i="9"/>
  <c r="AK46" i="9"/>
  <c r="AH42" i="9"/>
  <c r="AK86" i="9"/>
  <c r="AJ68" i="6"/>
  <c r="AK31" i="6"/>
  <c r="AK32" i="6"/>
  <c r="AJ54" i="6"/>
  <c r="AJ67" i="10"/>
  <c r="AJ55" i="6"/>
  <c r="AJ33" i="6"/>
  <c r="AJ27" i="10"/>
  <c r="AJ61" i="10"/>
  <c r="AJ63" i="10" s="1"/>
  <c r="AJ44" i="9"/>
  <c r="AJ86" i="9"/>
  <c r="AG50" i="9"/>
  <c r="AH15" i="9"/>
  <c r="AD131" i="9"/>
  <c r="AB131" i="9"/>
  <c r="AE131" i="9"/>
  <c r="AF97" i="9"/>
  <c r="AJ98" i="9" s="1"/>
  <c r="AE97" i="9"/>
  <c r="AB97" i="9"/>
  <c r="AK6" i="9" l="1"/>
  <c r="AL8" i="9"/>
  <c r="AL29" i="9"/>
  <c r="AO98" i="9"/>
  <c r="AS98" i="9"/>
  <c r="AM14" i="9"/>
  <c r="AQ107" i="9"/>
  <c r="AQ84" i="9"/>
  <c r="AJ69" i="6"/>
  <c r="AM17" i="9"/>
  <c r="AO89" i="9"/>
  <c r="AL49" i="9"/>
  <c r="AL86" i="9"/>
  <c r="AJ51" i="9"/>
  <c r="AL46" i="9"/>
  <c r="AI42" i="9"/>
  <c r="AK67" i="10"/>
  <c r="AK47" i="9"/>
  <c r="AK77" i="10"/>
  <c r="AK47" i="6"/>
  <c r="AO48" i="6" s="1"/>
  <c r="AK40" i="6"/>
  <c r="AI15" i="9"/>
  <c r="AE133" i="9"/>
  <c r="AH65" i="9"/>
  <c r="AH50" i="9"/>
  <c r="AL6" i="9" l="1"/>
  <c r="AK28" i="9"/>
  <c r="AK30" i="9" s="1"/>
  <c r="AK32" i="9" s="1"/>
  <c r="AM8" i="9"/>
  <c r="AM29" i="9"/>
  <c r="AI137" i="9"/>
  <c r="AI138" i="9" s="1"/>
  <c r="AP89" i="9"/>
  <c r="AM49" i="9"/>
  <c r="AL42" i="6"/>
  <c r="AO41" i="6"/>
  <c r="AL67" i="10"/>
  <c r="AL77" i="10"/>
  <c r="AK51" i="9"/>
  <c r="AK64" i="10"/>
  <c r="AJ64" i="10"/>
  <c r="AL47" i="9"/>
  <c r="AI65" i="9"/>
  <c r="AM46" i="9"/>
  <c r="AM86" i="9"/>
  <c r="AJ87" i="9"/>
  <c r="AL64" i="10"/>
  <c r="AI50" i="9"/>
  <c r="AJ63" i="9"/>
  <c r="AJ64" i="9" s="1"/>
  <c r="AJ65" i="9"/>
  <c r="AI61" i="10"/>
  <c r="AI63" i="10" s="1"/>
  <c r="AI18" i="6"/>
  <c r="AI1" i="6"/>
  <c r="AI37" i="6"/>
  <c r="AI38" i="6"/>
  <c r="AI44" i="6"/>
  <c r="AI45" i="6"/>
  <c r="AI50" i="6"/>
  <c r="AI51" i="6"/>
  <c r="AM52" i="6" s="1"/>
  <c r="AI57" i="6"/>
  <c r="AI58" i="6"/>
  <c r="AI52" i="10"/>
  <c r="AI49" i="10"/>
  <c r="AI36" i="10"/>
  <c r="AI33" i="10"/>
  <c r="AI27" i="10"/>
  <c r="AI17" i="10"/>
  <c r="AI14" i="10"/>
  <c r="AI7" i="10"/>
  <c r="AI1" i="10"/>
  <c r="AI40" i="10" s="1"/>
  <c r="AI43" i="9"/>
  <c r="AM45" i="9" s="1"/>
  <c r="AI44" i="9"/>
  <c r="AI61" i="9"/>
  <c r="AI68" i="9"/>
  <c r="AI72" i="9"/>
  <c r="AI74" i="9"/>
  <c r="AI76" i="9"/>
  <c r="AI77" i="9"/>
  <c r="AI78" i="9"/>
  <c r="AI79" i="9"/>
  <c r="AI86" i="9"/>
  <c r="AI93" i="9"/>
  <c r="AI95" i="9"/>
  <c r="D13" i="6"/>
  <c r="E13" i="6"/>
  <c r="F13" i="6"/>
  <c r="L13" i="6"/>
  <c r="K13" i="6"/>
  <c r="J13" i="6"/>
  <c r="H13" i="6"/>
  <c r="I13" i="6"/>
  <c r="G13" i="6"/>
  <c r="P69" i="6"/>
  <c r="Q69" i="6"/>
  <c r="R69" i="6"/>
  <c r="S69" i="6"/>
  <c r="T69" i="6"/>
  <c r="U69" i="6"/>
  <c r="V69" i="6"/>
  <c r="X69" i="6"/>
  <c r="Y69" i="6"/>
  <c r="Z69" i="6"/>
  <c r="AA69" i="6"/>
  <c r="AB69" i="6"/>
  <c r="AC69" i="6"/>
  <c r="AD69" i="6"/>
  <c r="AM6" i="9" l="1"/>
  <c r="AL28" i="9"/>
  <c r="AL30" i="9" s="1"/>
  <c r="AL32" i="9" s="1"/>
  <c r="AQ89" i="9"/>
  <c r="AM138" i="9"/>
  <c r="AI55" i="6"/>
  <c r="AP68" i="10"/>
  <c r="AO68" i="10"/>
  <c r="AM77" i="10"/>
  <c r="AM47" i="9"/>
  <c r="AM67" i="10"/>
  <c r="AN68" i="10"/>
  <c r="AM68" i="10"/>
  <c r="AL51" i="9"/>
  <c r="AI68" i="6"/>
  <c r="AM33" i="6"/>
  <c r="AJ82" i="9"/>
  <c r="AM81" i="9"/>
  <c r="AI31" i="6"/>
  <c r="AI47" i="6" s="1"/>
  <c r="AM48" i="6" s="1"/>
  <c r="AI54" i="6"/>
  <c r="AJ32" i="6"/>
  <c r="AJ31" i="6"/>
  <c r="AI33" i="6"/>
  <c r="AI81" i="9"/>
  <c r="AI62" i="9"/>
  <c r="AI32" i="6"/>
  <c r="AI21" i="10"/>
  <c r="AH61" i="9"/>
  <c r="AH39" i="9"/>
  <c r="AH36" i="9"/>
  <c r="AH37" i="9"/>
  <c r="AH35" i="9"/>
  <c r="AH52" i="9"/>
  <c r="AH47" i="9"/>
  <c r="AH38" i="9"/>
  <c r="AH32" i="10"/>
  <c r="AH33" i="10" s="1"/>
  <c r="AH25" i="10"/>
  <c r="AH27" i="10" s="1"/>
  <c r="AH20" i="10"/>
  <c r="AH52" i="10"/>
  <c r="AH49" i="10"/>
  <c r="AH36" i="10"/>
  <c r="AH17" i="10"/>
  <c r="AH14" i="10"/>
  <c r="AH7" i="10"/>
  <c r="AH1" i="10"/>
  <c r="AH40" i="10" s="1"/>
  <c r="AH58" i="6"/>
  <c r="AH57" i="6"/>
  <c r="AH55" i="6"/>
  <c r="AH54" i="6"/>
  <c r="AH51" i="6"/>
  <c r="AL52" i="6" s="1"/>
  <c r="AH50" i="6"/>
  <c r="AH45" i="6"/>
  <c r="AH1" i="6"/>
  <c r="AM28" i="9" l="1"/>
  <c r="AM30" i="9" s="1"/>
  <c r="AM32" i="9" s="1"/>
  <c r="AL106" i="9"/>
  <c r="AL81" i="9"/>
  <c r="AI69" i="6"/>
  <c r="AI40" i="6"/>
  <c r="AM41" i="6" s="1"/>
  <c r="AM51" i="9"/>
  <c r="AL105" i="9"/>
  <c r="AL102" i="9"/>
  <c r="AI63" i="9"/>
  <c r="AI64" i="9" s="1"/>
  <c r="AL104" i="9"/>
  <c r="AL103" i="9"/>
  <c r="AJ47" i="6"/>
  <c r="AN48" i="6" s="1"/>
  <c r="AJ40" i="6"/>
  <c r="AI47" i="9"/>
  <c r="AH61" i="6"/>
  <c r="AL62" i="6" s="1"/>
  <c r="AH110" i="9"/>
  <c r="AL117" i="9" s="1"/>
  <c r="AI35" i="9"/>
  <c r="AH81" i="9"/>
  <c r="AH62" i="9"/>
  <c r="AH113" i="9"/>
  <c r="AL120" i="9" s="1"/>
  <c r="AI38" i="9"/>
  <c r="AH112" i="9"/>
  <c r="AL119" i="9" s="1"/>
  <c r="AI37" i="9"/>
  <c r="AH54" i="9"/>
  <c r="AI52" i="9"/>
  <c r="AH111" i="9"/>
  <c r="AL118" i="9" s="1"/>
  <c r="AI36" i="9"/>
  <c r="AI82" i="9"/>
  <c r="AI39" i="9"/>
  <c r="AH114" i="9"/>
  <c r="AL121" i="9" s="1"/>
  <c r="AH40" i="9"/>
  <c r="AH41" i="9" s="1"/>
  <c r="AH61" i="10"/>
  <c r="AH63" i="10" s="1"/>
  <c r="AH21" i="10"/>
  <c r="AH31" i="6"/>
  <c r="AH47" i="6" s="1"/>
  <c r="AL48" i="6" s="1"/>
  <c r="AH32" i="6"/>
  <c r="AH33" i="6"/>
  <c r="AH37" i="6"/>
  <c r="AH38" i="6"/>
  <c r="AH68" i="9"/>
  <c r="AH71" i="9"/>
  <c r="AH72" i="9"/>
  <c r="AH74" i="9"/>
  <c r="AH76" i="9"/>
  <c r="AH77" i="9"/>
  <c r="AH78" i="9"/>
  <c r="AH79" i="9"/>
  <c r="AH93" i="9"/>
  <c r="AH95" i="9"/>
  <c r="AL84" i="9" l="1"/>
  <c r="AL107" i="9"/>
  <c r="AI106" i="9"/>
  <c r="AM106" i="9"/>
  <c r="AH63" i="9"/>
  <c r="AH64" i="9" s="1"/>
  <c r="AK42" i="6"/>
  <c r="AN41" i="6"/>
  <c r="AM103" i="9"/>
  <c r="AM102" i="9"/>
  <c r="AM104" i="9"/>
  <c r="AM105" i="9"/>
  <c r="AH91" i="9"/>
  <c r="AJ42" i="6"/>
  <c r="AH40" i="6"/>
  <c r="AJ103" i="9"/>
  <c r="AJ111" i="9"/>
  <c r="AN118" i="9" s="1"/>
  <c r="AJ54" i="9"/>
  <c r="AJ112" i="9"/>
  <c r="AN119" i="9" s="1"/>
  <c r="AJ104" i="9"/>
  <c r="AJ114" i="9"/>
  <c r="AN121" i="9" s="1"/>
  <c r="AJ113" i="9"/>
  <c r="AN120" i="9" s="1"/>
  <c r="AJ105" i="9"/>
  <c r="AJ110" i="9"/>
  <c r="AN117" i="9" s="1"/>
  <c r="AJ102" i="9"/>
  <c r="AJ40" i="9"/>
  <c r="AJ41" i="9" s="1"/>
  <c r="AI114" i="9"/>
  <c r="AM121" i="9" s="1"/>
  <c r="AI112" i="9"/>
  <c r="AM119" i="9" s="1"/>
  <c r="AI104" i="9"/>
  <c r="AI110" i="9"/>
  <c r="AM117" i="9" s="1"/>
  <c r="AI102" i="9"/>
  <c r="AI40" i="9"/>
  <c r="AI41" i="9" s="1"/>
  <c r="AI54" i="9"/>
  <c r="AI111" i="9"/>
  <c r="AM118" i="9" s="1"/>
  <c r="AI103" i="9"/>
  <c r="AI61" i="6"/>
  <c r="AM62" i="6" s="1"/>
  <c r="AI113" i="9"/>
  <c r="AM120" i="9" s="1"/>
  <c r="AI105" i="9"/>
  <c r="T65" i="9"/>
  <c r="P65" i="9"/>
  <c r="O65" i="9"/>
  <c r="N65" i="9"/>
  <c r="M65" i="9"/>
  <c r="AG65" i="9"/>
  <c r="AF65" i="9"/>
  <c r="AD65" i="9"/>
  <c r="AC65" i="9"/>
  <c r="AB65" i="9"/>
  <c r="X65" i="9"/>
  <c r="AG61" i="9"/>
  <c r="AF61" i="9"/>
  <c r="AM84" i="9" l="1"/>
  <c r="AM107" i="9"/>
  <c r="AN107" i="9"/>
  <c r="AK81" i="9"/>
  <c r="AJ81" i="9"/>
  <c r="AJ55" i="9"/>
  <c r="AN84" i="9"/>
  <c r="AI91" i="9"/>
  <c r="AJ91" i="9"/>
  <c r="AI42" i="6"/>
  <c r="AL41" i="6"/>
  <c r="AG62" i="9"/>
  <c r="AG82" i="9"/>
  <c r="AG81" i="9"/>
  <c r="AH82" i="9"/>
  <c r="AF82" i="9"/>
  <c r="AF81" i="9"/>
  <c r="AF62" i="9"/>
  <c r="AG63" i="9" l="1"/>
  <c r="AG64" i="9" s="1"/>
  <c r="AF63" i="9"/>
  <c r="AF64" i="9" s="1"/>
  <c r="AG61" i="6"/>
  <c r="AK62" i="6" s="1"/>
  <c r="AG128" i="9"/>
  <c r="AK132" i="9" s="1"/>
  <c r="AG130" i="9"/>
  <c r="AG129" i="9"/>
  <c r="AG49" i="9"/>
  <c r="AG46" i="9"/>
  <c r="AG16" i="9"/>
  <c r="AG55" i="10"/>
  <c r="AG54" i="10"/>
  <c r="AG50" i="10"/>
  <c r="AG46" i="10"/>
  <c r="AG42" i="10"/>
  <c r="AK72" i="10" s="1"/>
  <c r="AG32" i="10"/>
  <c r="AG25" i="10"/>
  <c r="AG20" i="10"/>
  <c r="AG57" i="9"/>
  <c r="AK95" i="9" s="1"/>
  <c r="AG14" i="9" l="1"/>
  <c r="AG24" i="9" s="1"/>
  <c r="AK89" i="9"/>
  <c r="AH54" i="10"/>
  <c r="AH46" i="10"/>
  <c r="AI46" i="10" s="1"/>
  <c r="AH50" i="10"/>
  <c r="AI50" i="10" s="1"/>
  <c r="AH42" i="10"/>
  <c r="AL72" i="10" s="1"/>
  <c r="AH55" i="10"/>
  <c r="AH76" i="10" s="1"/>
  <c r="AH128" i="9"/>
  <c r="AL132" i="9" s="1"/>
  <c r="AH129" i="9"/>
  <c r="AI129" i="9" s="1"/>
  <c r="AH130" i="9"/>
  <c r="AI130" i="9" s="1"/>
  <c r="AG97" i="9"/>
  <c r="AK98" i="9" s="1"/>
  <c r="AI64" i="10"/>
  <c r="AH64" i="10"/>
  <c r="AG131" i="9"/>
  <c r="AH43" i="9"/>
  <c r="AL45" i="9" s="1"/>
  <c r="AH86" i="9"/>
  <c r="AH44" i="9"/>
  <c r="AH87" i="9"/>
  <c r="AF131" i="9"/>
  <c r="E1" i="6"/>
  <c r="F1" i="6"/>
  <c r="G1" i="6"/>
  <c r="H1" i="6"/>
  <c r="I1" i="6"/>
  <c r="J1" i="6"/>
  <c r="K1" i="6"/>
  <c r="L1" i="6"/>
  <c r="M1" i="6"/>
  <c r="N1" i="6"/>
  <c r="O1" i="6"/>
  <c r="P1" i="6"/>
  <c r="Q1" i="6"/>
  <c r="R1" i="6"/>
  <c r="S1" i="6"/>
  <c r="T1" i="6"/>
  <c r="U1" i="6"/>
  <c r="V1" i="6"/>
  <c r="W1" i="6"/>
  <c r="X1" i="6"/>
  <c r="Y1" i="6"/>
  <c r="Z1" i="6"/>
  <c r="AA1" i="6"/>
  <c r="AB1" i="6"/>
  <c r="AC1" i="6"/>
  <c r="AD1" i="6"/>
  <c r="AE1" i="6"/>
  <c r="AF1" i="6"/>
  <c r="AG1" i="6"/>
  <c r="D1" i="6"/>
  <c r="AG58" i="6"/>
  <c r="AG57" i="6"/>
  <c r="AG55" i="6"/>
  <c r="AG54" i="6"/>
  <c r="AG51" i="6"/>
  <c r="AK52" i="6" s="1"/>
  <c r="AG50" i="6"/>
  <c r="AG45" i="6"/>
  <c r="AG38" i="6"/>
  <c r="AG33" i="6"/>
  <c r="AG32" i="6"/>
  <c r="AG31" i="6"/>
  <c r="AG47" i="6" s="1"/>
  <c r="AK48" i="6" s="1"/>
  <c r="E1" i="10"/>
  <c r="F1" i="10"/>
  <c r="G1" i="10"/>
  <c r="H1" i="10"/>
  <c r="I1" i="10"/>
  <c r="J1" i="10"/>
  <c r="K1" i="10"/>
  <c r="L1" i="10"/>
  <c r="M1" i="10"/>
  <c r="N1" i="10"/>
  <c r="O1" i="10"/>
  <c r="P1" i="10"/>
  <c r="Q1" i="10"/>
  <c r="R1" i="10"/>
  <c r="S1" i="10"/>
  <c r="T1" i="10"/>
  <c r="U1" i="10"/>
  <c r="V1" i="10"/>
  <c r="W1" i="10"/>
  <c r="X1" i="10"/>
  <c r="Y1" i="10"/>
  <c r="Z1" i="10"/>
  <c r="AA1" i="10"/>
  <c r="AB1" i="10"/>
  <c r="AC1" i="10"/>
  <c r="AD1" i="10"/>
  <c r="AE1" i="10"/>
  <c r="AF1" i="10"/>
  <c r="AG1" i="10"/>
  <c r="AG40" i="10" s="1"/>
  <c r="D1" i="10"/>
  <c r="AG77" i="10"/>
  <c r="AG76" i="10"/>
  <c r="AG75" i="10"/>
  <c r="AG67" i="10"/>
  <c r="AG61" i="10"/>
  <c r="AG52" i="10"/>
  <c r="AG49" i="10"/>
  <c r="AG36" i="10"/>
  <c r="AG33" i="10"/>
  <c r="AG27" i="10"/>
  <c r="AG21" i="10"/>
  <c r="AG17" i="10"/>
  <c r="AG14" i="10"/>
  <c r="AG7" i="10"/>
  <c r="AG114" i="9"/>
  <c r="AK121" i="9" s="1"/>
  <c r="AG113" i="9"/>
  <c r="AK120" i="9" s="1"/>
  <c r="AG112" i="9"/>
  <c r="AK119" i="9" s="1"/>
  <c r="AG111" i="9"/>
  <c r="AK118" i="9" s="1"/>
  <c r="AG110" i="9"/>
  <c r="AK117" i="9" s="1"/>
  <c r="AG105" i="9"/>
  <c r="AG104" i="9"/>
  <c r="AG103" i="9"/>
  <c r="AG102" i="9"/>
  <c r="AG95" i="9"/>
  <c r="AG93" i="9"/>
  <c r="AG87" i="9"/>
  <c r="AG79" i="9"/>
  <c r="AG78" i="9"/>
  <c r="AG77" i="9"/>
  <c r="AG76" i="9"/>
  <c r="AG74" i="9"/>
  <c r="AG72" i="9"/>
  <c r="AG71" i="9"/>
  <c r="AG68" i="9"/>
  <c r="AG54" i="9"/>
  <c r="AG51" i="9"/>
  <c r="AG44" i="9"/>
  <c r="AG43" i="9"/>
  <c r="AK45" i="9" s="1"/>
  <c r="AG40" i="9"/>
  <c r="AG41" i="9" s="1"/>
  <c r="AG17" i="9"/>
  <c r="AG8" i="9" l="1"/>
  <c r="AG29" i="9"/>
  <c r="AK84" i="9"/>
  <c r="AK107" i="9"/>
  <c r="AH75" i="10"/>
  <c r="AG91" i="9"/>
  <c r="AI54" i="10"/>
  <c r="AI55" i="10"/>
  <c r="AI76" i="10" s="1"/>
  <c r="AG64" i="10"/>
  <c r="AG63" i="10"/>
  <c r="AI42" i="10"/>
  <c r="AM72" i="10" s="1"/>
  <c r="AJ76" i="10"/>
  <c r="AG133" i="9"/>
  <c r="AG134" i="9"/>
  <c r="AH131" i="9"/>
  <c r="AF133" i="9"/>
  <c r="AF132" i="9"/>
  <c r="AF134" i="9"/>
  <c r="AI128" i="9"/>
  <c r="AM132" i="9" s="1"/>
  <c r="AH97" i="9"/>
  <c r="AL98" i="9" s="1"/>
  <c r="AI87" i="9"/>
  <c r="AG40" i="6"/>
  <c r="AF43" i="10"/>
  <c r="AF32" i="10"/>
  <c r="AF25" i="10"/>
  <c r="AF20" i="10"/>
  <c r="AF21" i="10" s="1"/>
  <c r="AF7" i="10"/>
  <c r="AG6" i="9" l="1"/>
  <c r="AI97" i="9"/>
  <c r="AI98" i="9" s="1"/>
  <c r="AI75" i="10"/>
  <c r="AI131" i="9"/>
  <c r="AI133" i="9" s="1"/>
  <c r="AJ133" i="9"/>
  <c r="AH42" i="6"/>
  <c r="AK41" i="6"/>
  <c r="AG43" i="10"/>
  <c r="AG44" i="10" s="1"/>
  <c r="AG47" i="10" s="1"/>
  <c r="AG51" i="10" s="1"/>
  <c r="AJ77" i="10"/>
  <c r="AJ75" i="10"/>
  <c r="AH133" i="9"/>
  <c r="AH132" i="9"/>
  <c r="AH134" i="9"/>
  <c r="AF54" i="9"/>
  <c r="AB49" i="9"/>
  <c r="AF49" i="9"/>
  <c r="AF46" i="9"/>
  <c r="AG28" i="9" l="1"/>
  <c r="AG30" i="9" s="1"/>
  <c r="AG32" i="9" s="1"/>
  <c r="AM98" i="9"/>
  <c r="AI134" i="9"/>
  <c r="AI132" i="9"/>
  <c r="AH43" i="10"/>
  <c r="AL73" i="10" s="1"/>
  <c r="AK73" i="10"/>
  <c r="AJ72" i="10"/>
  <c r="AJ44" i="10"/>
  <c r="AJ47" i="10" s="1"/>
  <c r="AJ51" i="10" s="1"/>
  <c r="AJ73" i="10"/>
  <c r="AH46" i="9"/>
  <c r="AF51" i="9"/>
  <c r="AH49" i="9"/>
  <c r="AF16" i="9"/>
  <c r="AF14" i="9" l="1"/>
  <c r="AF24" i="9" s="1"/>
  <c r="AL89" i="9"/>
  <c r="AI43" i="10"/>
  <c r="AM73" i="10" s="1"/>
  <c r="AH44" i="10"/>
  <c r="AH47" i="10" s="1"/>
  <c r="AH51" i="10" s="1"/>
  <c r="AH51" i="9"/>
  <c r="AH16" i="9"/>
  <c r="AH67" i="10"/>
  <c r="AH77" i="10"/>
  <c r="AI46" i="9"/>
  <c r="AI49" i="9"/>
  <c r="AF40" i="9"/>
  <c r="AF41" i="9" s="1"/>
  <c r="AH14" i="9" l="1"/>
  <c r="AH24" i="9" s="1"/>
  <c r="AJ84" i="9"/>
  <c r="AJ107" i="9"/>
  <c r="AM89" i="9"/>
  <c r="AI44" i="10"/>
  <c r="AI47" i="10" s="1"/>
  <c r="AI51" i="10" s="1"/>
  <c r="AI51" i="9"/>
  <c r="AJ89" i="9"/>
  <c r="AL68" i="10"/>
  <c r="AK68" i="10"/>
  <c r="AJ68" i="10"/>
  <c r="AI68" i="10"/>
  <c r="AH17" i="9"/>
  <c r="AI16" i="9"/>
  <c r="AI67" i="10"/>
  <c r="AI77" i="10"/>
  <c r="AF68" i="6"/>
  <c r="AF61" i="6"/>
  <c r="AJ62" i="6" s="1"/>
  <c r="AF58" i="6"/>
  <c r="AF57" i="6"/>
  <c r="AF55" i="6"/>
  <c r="AF54" i="6"/>
  <c r="AF51" i="6"/>
  <c r="AJ52" i="6" s="1"/>
  <c r="AF50" i="6"/>
  <c r="AF45" i="6"/>
  <c r="AF44" i="6"/>
  <c r="AF38" i="6"/>
  <c r="AF37" i="6"/>
  <c r="AF33" i="6"/>
  <c r="AF32" i="6"/>
  <c r="AF31" i="6"/>
  <c r="AF40" i="6" s="1"/>
  <c r="AF77" i="10"/>
  <c r="AF76" i="10"/>
  <c r="AF75" i="10"/>
  <c r="AF67" i="10"/>
  <c r="AF61" i="10"/>
  <c r="AF63" i="10" s="1"/>
  <c r="AF52" i="10"/>
  <c r="AF49" i="10"/>
  <c r="AF73" i="10"/>
  <c r="AF72" i="10"/>
  <c r="AF40" i="10"/>
  <c r="AF36" i="10"/>
  <c r="AF33" i="10"/>
  <c r="AF27" i="10"/>
  <c r="AF17" i="10"/>
  <c r="AF14" i="10"/>
  <c r="AF114" i="9"/>
  <c r="AJ121" i="9" s="1"/>
  <c r="AF113" i="9"/>
  <c r="AJ120" i="9" s="1"/>
  <c r="AF112" i="9"/>
  <c r="AJ119" i="9" s="1"/>
  <c r="AF111" i="9"/>
  <c r="AJ118" i="9" s="1"/>
  <c r="AF110" i="9"/>
  <c r="AJ117" i="9" s="1"/>
  <c r="AF105" i="9"/>
  <c r="AF104" i="9"/>
  <c r="AF103" i="9"/>
  <c r="AF102" i="9"/>
  <c r="AF95" i="9"/>
  <c r="AF93" i="9"/>
  <c r="AF87" i="9"/>
  <c r="AF86" i="9"/>
  <c r="AF79" i="9"/>
  <c r="AF78" i="9"/>
  <c r="AF77" i="9"/>
  <c r="AF76" i="9"/>
  <c r="AF74" i="9"/>
  <c r="AF72" i="9"/>
  <c r="AF71" i="9"/>
  <c r="AF68" i="9"/>
  <c r="AF91" i="9"/>
  <c r="AF44" i="9"/>
  <c r="AF43" i="9"/>
  <c r="AJ45" i="9" s="1"/>
  <c r="AH8" i="9" l="1"/>
  <c r="AH29" i="9"/>
  <c r="AI14" i="9"/>
  <c r="AF69" i="6"/>
  <c r="AI17" i="9"/>
  <c r="AG42" i="6"/>
  <c r="AJ41" i="6"/>
  <c r="AJ17" i="9"/>
  <c r="AF47" i="6"/>
  <c r="AJ48" i="6" s="1"/>
  <c r="AF44" i="10"/>
  <c r="AF47" i="10" s="1"/>
  <c r="AF51" i="10" s="1"/>
  <c r="AF17" i="9"/>
  <c r="AH6" i="9" l="1"/>
  <c r="AF8" i="9"/>
  <c r="AF29" i="9"/>
  <c r="AJ8" i="9"/>
  <c r="AJ29" i="9"/>
  <c r="AI8" i="9"/>
  <c r="AI29" i="9"/>
  <c r="AI24" i="9"/>
  <c r="AA246" i="12"/>
  <c r="AU245" i="12"/>
  <c r="AU244" i="12" s="1"/>
  <c r="AT244" i="12" s="1"/>
  <c r="AA239" i="12"/>
  <c r="AU238" i="12"/>
  <c r="AA219" i="12"/>
  <c r="AU218" i="12"/>
  <c r="AU217" i="12" s="1"/>
  <c r="AT217" i="12" s="1"/>
  <c r="AA202" i="12"/>
  <c r="AU201" i="12"/>
  <c r="AU200" i="12" s="1"/>
  <c r="AT200" i="12" s="1"/>
  <c r="AA189" i="12"/>
  <c r="AA183" i="12"/>
  <c r="AU188" i="12"/>
  <c r="AU187" i="12" s="1"/>
  <c r="AT187" i="12" s="1"/>
  <c r="AU182" i="12"/>
  <c r="AA173" i="12"/>
  <c r="AU172" i="12"/>
  <c r="AU171" i="12" s="1"/>
  <c r="AT171" i="12" s="1"/>
  <c r="AA167" i="12"/>
  <c r="AU166" i="12"/>
  <c r="AA155" i="12"/>
  <c r="AU154" i="12"/>
  <c r="AU153" i="12" s="1"/>
  <c r="AT153" i="12" s="1"/>
  <c r="AA149" i="12"/>
  <c r="AU148" i="12"/>
  <c r="AU147" i="12" s="1"/>
  <c r="AT147" i="12" s="1"/>
  <c r="AA134" i="12"/>
  <c r="AU133" i="12"/>
  <c r="AU132" i="12" s="1"/>
  <c r="AT132" i="12" s="1"/>
  <c r="AA128" i="12"/>
  <c r="AU127" i="12"/>
  <c r="AU126" i="12" s="1"/>
  <c r="AT126" i="12" s="1"/>
  <c r="AA115" i="12"/>
  <c r="AA110" i="12"/>
  <c r="AA109" i="12"/>
  <c r="AU114" i="12"/>
  <c r="AU113" i="12" s="1"/>
  <c r="AT113" i="12" s="1"/>
  <c r="AU108" i="12"/>
  <c r="AU107" i="12" s="1"/>
  <c r="AT107" i="12" s="1"/>
  <c r="AS107" i="12" s="1"/>
  <c r="AA93" i="12"/>
  <c r="AA92" i="12"/>
  <c r="AA91" i="12"/>
  <c r="AA90" i="12"/>
  <c r="AU89" i="12"/>
  <c r="AU88" i="12" s="1"/>
  <c r="AT88" i="12" s="1"/>
  <c r="AA78" i="12"/>
  <c r="AA72" i="12"/>
  <c r="AU77" i="12"/>
  <c r="AU76" i="12" s="1"/>
  <c r="AT76" i="12" s="1"/>
  <c r="AU71" i="12"/>
  <c r="AU70" i="12" s="1"/>
  <c r="AT70" i="12" s="1"/>
  <c r="AA62" i="12"/>
  <c r="AA56" i="12"/>
  <c r="AA55" i="12"/>
  <c r="AA54" i="12"/>
  <c r="AA53" i="12"/>
  <c r="AA52" i="12"/>
  <c r="AU61" i="12"/>
  <c r="AU60" i="12" s="1"/>
  <c r="AT60" i="12" s="1"/>
  <c r="AU51" i="12"/>
  <c r="AU50" i="12" s="1"/>
  <c r="AT50" i="12" s="1"/>
  <c r="AA35" i="12"/>
  <c r="AU34" i="12"/>
  <c r="AU33" i="12" s="1"/>
  <c r="AT33" i="12" s="1"/>
  <c r="AA22" i="12"/>
  <c r="AU21" i="12"/>
  <c r="AU20" i="12" s="1"/>
  <c r="AT20" i="12" s="1"/>
  <c r="AI6" i="9" l="1"/>
  <c r="AJ6" i="9"/>
  <c r="AF6" i="9"/>
  <c r="AH28" i="9"/>
  <c r="AH30" i="9" s="1"/>
  <c r="AH32" i="9" s="1"/>
  <c r="AS88" i="12"/>
  <c r="AU149" i="12"/>
  <c r="AU237" i="12"/>
  <c r="AT237" i="12" s="1"/>
  <c r="AS237" i="12" s="1"/>
  <c r="AU134" i="12"/>
  <c r="AU109" i="12"/>
  <c r="AS244" i="12"/>
  <c r="AS217" i="12"/>
  <c r="AS200" i="12"/>
  <c r="AS187" i="12"/>
  <c r="AU181" i="12"/>
  <c r="AT181" i="12" s="1"/>
  <c r="AS171" i="12"/>
  <c r="AU165" i="12"/>
  <c r="AT165" i="12" s="1"/>
  <c r="AS153" i="12"/>
  <c r="AS147" i="12"/>
  <c r="AS132" i="12"/>
  <c r="AS126" i="12"/>
  <c r="AS113" i="12"/>
  <c r="AR107" i="12"/>
  <c r="AS76" i="12"/>
  <c r="AS70" i="12"/>
  <c r="AS60" i="12"/>
  <c r="AS50" i="12"/>
  <c r="AS33" i="12"/>
  <c r="AS20" i="12"/>
  <c r="AA16" i="12"/>
  <c r="AU15" i="12"/>
  <c r="AU14" i="12" s="1"/>
  <c r="D93" i="14"/>
  <c r="D92" i="14"/>
  <c r="D91" i="14"/>
  <c r="D90" i="14"/>
  <c r="D89" i="14"/>
  <c r="D88" i="14"/>
  <c r="D87" i="14"/>
  <c r="D86" i="14"/>
  <c r="D85" i="14"/>
  <c r="D84" i="14"/>
  <c r="D83" i="14"/>
  <c r="D82" i="14"/>
  <c r="D81" i="14"/>
  <c r="D80" i="14"/>
  <c r="D79" i="14"/>
  <c r="D78" i="14"/>
  <c r="D77" i="14"/>
  <c r="D76" i="14"/>
  <c r="D75" i="14"/>
  <c r="D74" i="14"/>
  <c r="D73" i="14"/>
  <c r="D72" i="14"/>
  <c r="D71" i="14"/>
  <c r="D70" i="14"/>
  <c r="D69" i="14"/>
  <c r="D68" i="14"/>
  <c r="D67" i="14"/>
  <c r="D66" i="14"/>
  <c r="D65" i="14"/>
  <c r="D64" i="14"/>
  <c r="D63" i="14"/>
  <c r="D62" i="14"/>
  <c r="D61" i="14"/>
  <c r="D60" i="14"/>
  <c r="D59" i="14"/>
  <c r="D58" i="14"/>
  <c r="D57" i="14"/>
  <c r="D56" i="14"/>
  <c r="D55" i="14"/>
  <c r="D54" i="14"/>
  <c r="D53" i="14"/>
  <c r="D52" i="14"/>
  <c r="D51" i="14"/>
  <c r="D50" i="14"/>
  <c r="D49" i="14"/>
  <c r="D48" i="14"/>
  <c r="D47" i="14"/>
  <c r="D46" i="14"/>
  <c r="D45" i="14"/>
  <c r="D44" i="14"/>
  <c r="D43" i="14"/>
  <c r="D42" i="14"/>
  <c r="D41" i="14"/>
  <c r="D40" i="14"/>
  <c r="D39" i="14"/>
  <c r="D38" i="14"/>
  <c r="D37" i="14"/>
  <c r="D36" i="14"/>
  <c r="D35" i="14"/>
  <c r="D34" i="14"/>
  <c r="D33" i="14"/>
  <c r="D32" i="14"/>
  <c r="D31" i="14"/>
  <c r="D30" i="14"/>
  <c r="D29" i="14"/>
  <c r="D28" i="14"/>
  <c r="D27" i="14"/>
  <c r="D26" i="14"/>
  <c r="D25" i="14"/>
  <c r="D24" i="14"/>
  <c r="D23" i="14"/>
  <c r="D22" i="14"/>
  <c r="D21" i="14"/>
  <c r="D20" i="14"/>
  <c r="D19" i="14"/>
  <c r="D18" i="14"/>
  <c r="D17" i="14"/>
  <c r="D16" i="14"/>
  <c r="D15" i="14"/>
  <c r="D14" i="14"/>
  <c r="D13" i="14"/>
  <c r="D12" i="14"/>
  <c r="D11" i="14"/>
  <c r="D10" i="14"/>
  <c r="D9" i="14"/>
  <c r="D8" i="14"/>
  <c r="D7" i="14"/>
  <c r="D6" i="14"/>
  <c r="D5" i="14"/>
  <c r="D4" i="14"/>
  <c r="D3" i="14"/>
  <c r="D2" i="14"/>
  <c r="AJ28" i="9" l="1"/>
  <c r="AJ30" i="9" s="1"/>
  <c r="AJ32" i="9" s="1"/>
  <c r="AI28" i="9"/>
  <c r="AI30" i="9" s="1"/>
  <c r="AI32" i="9" s="1"/>
  <c r="AF28" i="9"/>
  <c r="AF30" i="9" s="1"/>
  <c r="AF32" i="9" s="1"/>
  <c r="AT89" i="12"/>
  <c r="AT127" i="12"/>
  <c r="AT172" i="12"/>
  <c r="AT245" i="12"/>
  <c r="AT218" i="12"/>
  <c r="AT133" i="12"/>
  <c r="AT134" i="12" s="1"/>
  <c r="AT188" i="12"/>
  <c r="AT34" i="12"/>
  <c r="AS108" i="12"/>
  <c r="AT21" i="12"/>
  <c r="AT51" i="12"/>
  <c r="AT154" i="12"/>
  <c r="AT201" i="12"/>
  <c r="AT77" i="12"/>
  <c r="AT61" i="12"/>
  <c r="AT114" i="12"/>
  <c r="AT108" i="12"/>
  <c r="AT109" i="12" s="1"/>
  <c r="AT71" i="12"/>
  <c r="AT148" i="12"/>
  <c r="AT149" i="12" s="1"/>
  <c r="AS89" i="12"/>
  <c r="AT238" i="12"/>
  <c r="AR88" i="12"/>
  <c r="AQ88" i="12" s="1"/>
  <c r="AU16" i="12"/>
  <c r="AR244" i="12"/>
  <c r="AS245" i="12"/>
  <c r="AR237" i="12"/>
  <c r="AS238" i="12"/>
  <c r="AS218" i="12"/>
  <c r="AR217" i="12"/>
  <c r="AR200" i="12"/>
  <c r="AS201" i="12"/>
  <c r="AR187" i="12"/>
  <c r="AS188" i="12"/>
  <c r="AS181" i="12"/>
  <c r="AT182" i="12"/>
  <c r="AS172" i="12"/>
  <c r="AR171" i="12"/>
  <c r="AS165" i="12"/>
  <c r="AT166" i="12"/>
  <c r="AS154" i="12"/>
  <c r="AR153" i="12"/>
  <c r="AS148" i="12"/>
  <c r="AS149" i="12" s="1"/>
  <c r="AR147" i="12"/>
  <c r="AR132" i="12"/>
  <c r="AS133" i="12"/>
  <c r="AS134" i="12" s="1"/>
  <c r="AS127" i="12"/>
  <c r="AR126" i="12"/>
  <c r="AS114" i="12"/>
  <c r="AR113" i="12"/>
  <c r="AQ107" i="12"/>
  <c r="AR108" i="12"/>
  <c r="AR76" i="12"/>
  <c r="AS77" i="12"/>
  <c r="AR70" i="12"/>
  <c r="AS71" i="12"/>
  <c r="AR60" i="12"/>
  <c r="AS61" i="12"/>
  <c r="AR50" i="12"/>
  <c r="AS51" i="12"/>
  <c r="AR33" i="12"/>
  <c r="AS34" i="12"/>
  <c r="AR20" i="12"/>
  <c r="AS21" i="12"/>
  <c r="AT14" i="12"/>
  <c r="AT15" i="12" s="1"/>
  <c r="AT16" i="12" s="1"/>
  <c r="AR89" i="12" l="1"/>
  <c r="AR245" i="12"/>
  <c r="AQ244" i="12"/>
  <c r="AQ237" i="12"/>
  <c r="AR238" i="12"/>
  <c r="AQ217" i="12"/>
  <c r="AR218" i="12"/>
  <c r="AR201" i="12"/>
  <c r="AQ200" i="12"/>
  <c r="AR188" i="12"/>
  <c r="AQ187" i="12"/>
  <c r="AR181" i="12"/>
  <c r="AS182" i="12"/>
  <c r="AQ171" i="12"/>
  <c r="AR172" i="12"/>
  <c r="AR165" i="12"/>
  <c r="AS166" i="12"/>
  <c r="AQ153" i="12"/>
  <c r="AR154" i="12"/>
  <c r="AQ147" i="12"/>
  <c r="AR148" i="12"/>
  <c r="AR149" i="12" s="1"/>
  <c r="AR133" i="12"/>
  <c r="AR134" i="12" s="1"/>
  <c r="AQ132" i="12"/>
  <c r="AQ126" i="12"/>
  <c r="AR127" i="12"/>
  <c r="AQ113" i="12"/>
  <c r="AR114" i="12"/>
  <c r="AP107" i="12"/>
  <c r="AQ108" i="12"/>
  <c r="AP88" i="12"/>
  <c r="AQ89" i="12"/>
  <c r="AQ76" i="12"/>
  <c r="AR77" i="12"/>
  <c r="AQ70" i="12"/>
  <c r="AR71" i="12"/>
  <c r="AQ60" i="12"/>
  <c r="AR61" i="12"/>
  <c r="AR51" i="12"/>
  <c r="AQ50" i="12"/>
  <c r="AR34" i="12"/>
  <c r="AQ33" i="12"/>
  <c r="AR21" i="12"/>
  <c r="AQ20" i="12"/>
  <c r="AS14" i="12"/>
  <c r="AS15" i="12" s="1"/>
  <c r="AS16" i="12" s="1"/>
  <c r="AR14" i="12" l="1"/>
  <c r="AR15" i="12" s="1"/>
  <c r="AR16" i="12" s="1"/>
  <c r="AQ245" i="12"/>
  <c r="AP244" i="12"/>
  <c r="AQ238" i="12"/>
  <c r="AP237" i="12"/>
  <c r="AP217" i="12"/>
  <c r="AQ218" i="12"/>
  <c r="AQ201" i="12"/>
  <c r="AP200" i="12"/>
  <c r="AQ188" i="12"/>
  <c r="AP187" i="12"/>
  <c r="AR182" i="12"/>
  <c r="AQ181" i="12"/>
  <c r="AQ172" i="12"/>
  <c r="AP171" i="12"/>
  <c r="AR166" i="12"/>
  <c r="AQ165" i="12"/>
  <c r="AQ154" i="12"/>
  <c r="AP153" i="12"/>
  <c r="AQ148" i="12"/>
  <c r="AQ149" i="12" s="1"/>
  <c r="AP147" i="12"/>
  <c r="AP132" i="12"/>
  <c r="AQ133" i="12"/>
  <c r="AQ134" i="12" s="1"/>
  <c r="AQ127" i="12"/>
  <c r="AP126" i="12"/>
  <c r="AP113" i="12"/>
  <c r="AQ114" i="12"/>
  <c r="AO107" i="12"/>
  <c r="AP108" i="12"/>
  <c r="AO88" i="12"/>
  <c r="AP89" i="12"/>
  <c r="AP76" i="12"/>
  <c r="AQ77" i="12"/>
  <c r="AP70" i="12"/>
  <c r="AQ71" i="12"/>
  <c r="AP60" i="12"/>
  <c r="AQ61" i="12"/>
  <c r="AQ51" i="12"/>
  <c r="AP50" i="12"/>
  <c r="AQ34" i="12"/>
  <c r="AP33" i="12"/>
  <c r="AP20" i="12"/>
  <c r="AQ21" i="12"/>
  <c r="AQ14" i="12" l="1"/>
  <c r="AQ15" i="12" s="1"/>
  <c r="AQ16" i="12" s="1"/>
  <c r="AO244" i="12"/>
  <c r="AP245" i="12"/>
  <c r="AP238" i="12"/>
  <c r="AO237" i="12"/>
  <c r="AP218" i="12"/>
  <c r="AO217" i="12"/>
  <c r="AO200" i="12"/>
  <c r="AP201" i="12"/>
  <c r="AP188" i="12"/>
  <c r="AO187" i="12"/>
  <c r="AQ182" i="12"/>
  <c r="AP181" i="12"/>
  <c r="AP172" i="12"/>
  <c r="AO171" i="12"/>
  <c r="AQ166" i="12"/>
  <c r="AP165" i="12"/>
  <c r="AP154" i="12"/>
  <c r="AO153" i="12"/>
  <c r="AP148" i="12"/>
  <c r="AP149" i="12" s="1"/>
  <c r="AO147" i="12"/>
  <c r="AP133" i="12"/>
  <c r="AO132" i="12"/>
  <c r="AP127" i="12"/>
  <c r="AO126" i="12"/>
  <c r="AO113" i="12"/>
  <c r="AP114" i="12"/>
  <c r="AP109" i="12"/>
  <c r="AO108" i="12"/>
  <c r="AN107" i="12"/>
  <c r="AN88" i="12"/>
  <c r="AO89" i="12"/>
  <c r="AP77" i="12"/>
  <c r="AO76" i="12"/>
  <c r="AP71" i="12"/>
  <c r="AO70" i="12"/>
  <c r="AP61" i="12"/>
  <c r="AO60" i="12"/>
  <c r="AP51" i="12"/>
  <c r="AO50" i="12"/>
  <c r="AP34" i="12"/>
  <c r="AO33" i="12"/>
  <c r="AO20" i="12"/>
  <c r="AP21" i="12"/>
  <c r="AP14" i="12" l="1"/>
  <c r="AP15" i="12" s="1"/>
  <c r="AN244" i="12"/>
  <c r="AO245" i="12"/>
  <c r="AO238" i="12"/>
  <c r="AN237" i="12"/>
  <c r="AO218" i="12"/>
  <c r="AN217" i="12"/>
  <c r="AN200" i="12"/>
  <c r="AO201" i="12"/>
  <c r="AN187" i="12"/>
  <c r="AO188" i="12"/>
  <c r="AO181" i="12"/>
  <c r="AP182" i="12"/>
  <c r="AO172" i="12"/>
  <c r="AN171" i="12"/>
  <c r="AP166" i="12"/>
  <c r="AO165" i="12"/>
  <c r="AO154" i="12"/>
  <c r="AN153" i="12"/>
  <c r="AO148" i="12"/>
  <c r="AO149" i="12" s="1"/>
  <c r="AN147" i="12"/>
  <c r="AN132" i="12"/>
  <c r="AO133" i="12"/>
  <c r="AO127" i="12"/>
  <c r="AN126" i="12"/>
  <c r="AN113" i="12"/>
  <c r="AO114" i="12"/>
  <c r="AN108" i="12"/>
  <c r="AM107" i="12"/>
  <c r="AM88" i="12"/>
  <c r="AN89" i="12"/>
  <c r="AO77" i="12"/>
  <c r="AN76" i="12"/>
  <c r="AO71" i="12"/>
  <c r="AN70" i="12"/>
  <c r="AO61" i="12"/>
  <c r="AN60" i="12"/>
  <c r="AN50" i="12"/>
  <c r="AO51" i="12"/>
  <c r="AN33" i="12"/>
  <c r="AO34" i="12"/>
  <c r="AN20" i="12"/>
  <c r="AO21" i="12"/>
  <c r="AO14" i="12" l="1"/>
  <c r="AO15" i="12" s="1"/>
  <c r="AM244" i="12"/>
  <c r="AN245" i="12"/>
  <c r="AM237" i="12"/>
  <c r="AN238" i="12"/>
  <c r="AM217" i="12"/>
  <c r="AN218" i="12"/>
  <c r="AM200" i="12"/>
  <c r="AN201" i="12"/>
  <c r="AM187" i="12"/>
  <c r="AN188" i="12"/>
  <c r="AN181" i="12"/>
  <c r="AO182" i="12"/>
  <c r="AM171" i="12"/>
  <c r="AN172" i="12"/>
  <c r="AN165" i="12"/>
  <c r="AO166" i="12"/>
  <c r="AM153" i="12"/>
  <c r="AN154" i="12"/>
  <c r="AM147" i="12"/>
  <c r="AN148" i="12"/>
  <c r="AN149" i="12" s="1"/>
  <c r="AN133" i="12"/>
  <c r="AM132" i="12"/>
  <c r="AM126" i="12"/>
  <c r="AN127" i="12"/>
  <c r="AM113" i="12"/>
  <c r="AN114" i="12"/>
  <c r="AM108" i="12"/>
  <c r="AL107" i="12"/>
  <c r="AM89" i="12"/>
  <c r="AL88" i="12"/>
  <c r="AM76" i="12"/>
  <c r="AN77" i="12"/>
  <c r="AM70" i="12"/>
  <c r="AN71" i="12"/>
  <c r="AN61" i="12"/>
  <c r="AM60" i="12"/>
  <c r="AN51" i="12"/>
  <c r="AM50" i="12"/>
  <c r="AM33" i="12"/>
  <c r="AN34" i="12"/>
  <c r="AN21" i="12"/>
  <c r="AM20" i="12"/>
  <c r="AN14" i="12" l="1"/>
  <c r="AN15" i="12" s="1"/>
  <c r="AL244" i="12"/>
  <c r="AM245" i="12"/>
  <c r="AL237" i="12"/>
  <c r="AM238" i="12"/>
  <c r="AL217" i="12"/>
  <c r="AM218" i="12"/>
  <c r="AM201" i="12"/>
  <c r="AL200" i="12"/>
  <c r="AL187" i="12"/>
  <c r="AM188" i="12"/>
  <c r="AM181" i="12"/>
  <c r="AN182" i="12"/>
  <c r="AL171" i="12"/>
  <c r="AM172" i="12"/>
  <c r="AM165" i="12"/>
  <c r="AN166" i="12"/>
  <c r="AL153" i="12"/>
  <c r="AM154" i="12"/>
  <c r="AL147" i="12"/>
  <c r="AM148" i="12"/>
  <c r="AL132" i="12"/>
  <c r="AM133" i="12"/>
  <c r="AL126" i="12"/>
  <c r="AM127" i="12"/>
  <c r="AM114" i="12"/>
  <c r="AL113" i="12"/>
  <c r="AK107" i="12"/>
  <c r="AL108" i="12"/>
  <c r="AL89" i="12"/>
  <c r="AK88" i="12"/>
  <c r="AL76" i="12"/>
  <c r="AM77" i="12"/>
  <c r="AM71" i="12"/>
  <c r="AL70" i="12"/>
  <c r="AL60" i="12"/>
  <c r="AM61" i="12"/>
  <c r="AL50" i="12"/>
  <c r="AM51" i="12"/>
  <c r="AL33" i="12"/>
  <c r="AM34" i="12"/>
  <c r="AL20" i="12"/>
  <c r="AM21" i="12"/>
  <c r="AM14" i="12" l="1"/>
  <c r="AM15" i="12" s="1"/>
  <c r="AL245" i="12"/>
  <c r="AK244" i="12"/>
  <c r="AK237" i="12"/>
  <c r="AL238" i="12"/>
  <c r="AK217" i="12"/>
  <c r="AL218" i="12"/>
  <c r="AK200" i="12"/>
  <c r="AL201" i="12"/>
  <c r="AK187" i="12"/>
  <c r="AL188" i="12"/>
  <c r="AL181" i="12"/>
  <c r="AM182" i="12"/>
  <c r="AK171" i="12"/>
  <c r="AL172" i="12"/>
  <c r="AL165" i="12"/>
  <c r="AM166" i="12"/>
  <c r="AK153" i="12"/>
  <c r="AL154" i="12"/>
  <c r="AK147" i="12"/>
  <c r="AL148" i="12"/>
  <c r="AK132" i="12"/>
  <c r="AL133" i="12"/>
  <c r="AK126" i="12"/>
  <c r="AL127" i="12"/>
  <c r="AL114" i="12"/>
  <c r="AK113" i="12"/>
  <c r="AJ107" i="12"/>
  <c r="AK108" i="12"/>
  <c r="AK89" i="12"/>
  <c r="AJ88" i="12"/>
  <c r="AK76" i="12"/>
  <c r="AL77" i="12"/>
  <c r="AL71" i="12"/>
  <c r="AK70" i="12"/>
  <c r="AK60" i="12"/>
  <c r="AL61" i="12"/>
  <c r="AK50" i="12"/>
  <c r="AL51" i="12"/>
  <c r="AL34" i="12"/>
  <c r="AK33" i="12"/>
  <c r="AL21" i="12"/>
  <c r="AK20" i="12"/>
  <c r="AL14" i="12" l="1"/>
  <c r="AL15" i="12" s="1"/>
  <c r="AK245" i="12"/>
  <c r="AJ244" i="12"/>
  <c r="AJ237" i="12"/>
  <c r="AK238" i="12"/>
  <c r="AK218" i="12"/>
  <c r="AJ217" i="12"/>
  <c r="AJ200" i="12"/>
  <c r="AK201" i="12"/>
  <c r="AJ187" i="12"/>
  <c r="AK188" i="12"/>
  <c r="AK181" i="12"/>
  <c r="AL182" i="12"/>
  <c r="AK172" i="12"/>
  <c r="AJ171" i="12"/>
  <c r="AK165" i="12"/>
  <c r="AL166" i="12"/>
  <c r="AK154" i="12"/>
  <c r="AJ153" i="12"/>
  <c r="AK148" i="12"/>
  <c r="AJ147" i="12"/>
  <c r="AJ132" i="12"/>
  <c r="AK133" i="12"/>
  <c r="AK127" i="12"/>
  <c r="AJ126" i="12"/>
  <c r="AK114" i="12"/>
  <c r="AJ113" i="12"/>
  <c r="AI107" i="12"/>
  <c r="AJ108" i="12"/>
  <c r="AI88" i="12"/>
  <c r="AJ89" i="12"/>
  <c r="AJ76" i="12"/>
  <c r="AK77" i="12"/>
  <c r="AJ70" i="12"/>
  <c r="AK71" i="12"/>
  <c r="AJ60" i="12"/>
  <c r="AK61" i="12"/>
  <c r="AJ50" i="12"/>
  <c r="AK51" i="12"/>
  <c r="AK34" i="12"/>
  <c r="AJ33" i="12"/>
  <c r="AJ20" i="12"/>
  <c r="AK21" i="12"/>
  <c r="AK14" i="12" l="1"/>
  <c r="AK15" i="12" s="1"/>
  <c r="AJ245" i="12"/>
  <c r="AI244" i="12"/>
  <c r="AI237" i="12"/>
  <c r="AJ238" i="12"/>
  <c r="AI217" i="12"/>
  <c r="AJ218" i="12"/>
  <c r="AJ201" i="12"/>
  <c r="AI200" i="12"/>
  <c r="AJ188" i="12"/>
  <c r="AI187" i="12"/>
  <c r="AJ181" i="12"/>
  <c r="AK182" i="12"/>
  <c r="AI171" i="12"/>
  <c r="AJ172" i="12"/>
  <c r="AJ165" i="12"/>
  <c r="AK166" i="12"/>
  <c r="AI153" i="12"/>
  <c r="AJ154" i="12"/>
  <c r="AI147" i="12"/>
  <c r="AJ148" i="12"/>
  <c r="AJ149" i="12" s="1"/>
  <c r="AJ133" i="12"/>
  <c r="AI132" i="12"/>
  <c r="AI126" i="12"/>
  <c r="AJ127" i="12"/>
  <c r="AI113" i="12"/>
  <c r="AJ114" i="12"/>
  <c r="AH107" i="12"/>
  <c r="AI108" i="12"/>
  <c r="AH88" i="12"/>
  <c r="AI89" i="12"/>
  <c r="AI76" i="12"/>
  <c r="AJ77" i="12"/>
  <c r="AI70" i="12"/>
  <c r="AJ71" i="12"/>
  <c r="AI60" i="12"/>
  <c r="AJ61" i="12"/>
  <c r="AJ51" i="12"/>
  <c r="AI50" i="12"/>
  <c r="AJ34" i="12"/>
  <c r="AI33" i="12"/>
  <c r="AJ21" i="12"/>
  <c r="AI20" i="12"/>
  <c r="AJ14" i="12" l="1"/>
  <c r="AJ15" i="12" s="1"/>
  <c r="AH244" i="12"/>
  <c r="AI245" i="12"/>
  <c r="AH237" i="12"/>
  <c r="AI238" i="12"/>
  <c r="AH217" i="12"/>
  <c r="AI218" i="12"/>
  <c r="AI201" i="12"/>
  <c r="AH200" i="12"/>
  <c r="AI188" i="12"/>
  <c r="AH187" i="12"/>
  <c r="AJ182" i="12"/>
  <c r="AI181" i="12"/>
  <c r="AI172" i="12"/>
  <c r="AH171" i="12"/>
  <c r="AJ166" i="12"/>
  <c r="AI165" i="12"/>
  <c r="AI154" i="12"/>
  <c r="AH153" i="12"/>
  <c r="AI148" i="12"/>
  <c r="AH147" i="12"/>
  <c r="AI133" i="12"/>
  <c r="AH132" i="12"/>
  <c r="AI127" i="12"/>
  <c r="AH126" i="12"/>
  <c r="AH113" i="12"/>
  <c r="AI114" i="12"/>
  <c r="AG107" i="12"/>
  <c r="AH108" i="12"/>
  <c r="AG88" i="12"/>
  <c r="AH89" i="12"/>
  <c r="AH76" i="12"/>
  <c r="AI77" i="12"/>
  <c r="AH70" i="12"/>
  <c r="AI71" i="12"/>
  <c r="AH60" i="12"/>
  <c r="AI61" i="12"/>
  <c r="AH50" i="12"/>
  <c r="AI51" i="12"/>
  <c r="AI34" i="12"/>
  <c r="AH33" i="12"/>
  <c r="AH20" i="12"/>
  <c r="AI21" i="12"/>
  <c r="AI14" i="12" l="1"/>
  <c r="AI15" i="12" s="1"/>
  <c r="AH245" i="12"/>
  <c r="AG244" i="12"/>
  <c r="AH238" i="12"/>
  <c r="AG237" i="12"/>
  <c r="AH218" i="12"/>
  <c r="AG217" i="12"/>
  <c r="AG200" i="12"/>
  <c r="AH201" i="12"/>
  <c r="AG187" i="12"/>
  <c r="AH188" i="12"/>
  <c r="AI182" i="12"/>
  <c r="AH181" i="12"/>
  <c r="AH172" i="12"/>
  <c r="AG171" i="12"/>
  <c r="AI166" i="12"/>
  <c r="AH165" i="12"/>
  <c r="AH154" i="12"/>
  <c r="AG153" i="12"/>
  <c r="AH148" i="12"/>
  <c r="AG147" i="12"/>
  <c r="AH133" i="12"/>
  <c r="AG132" i="12"/>
  <c r="AH127" i="12"/>
  <c r="AG126" i="12"/>
  <c r="AG113" i="12"/>
  <c r="AH114" i="12"/>
  <c r="AG108" i="12"/>
  <c r="AF107" i="12"/>
  <c r="AF88" i="12"/>
  <c r="AG89" i="12"/>
  <c r="AH77" i="12"/>
  <c r="AG76" i="12"/>
  <c r="AH71" i="12"/>
  <c r="AG70" i="12"/>
  <c r="AH61" i="12"/>
  <c r="AG60" i="12"/>
  <c r="AH51" i="12"/>
  <c r="AG50" i="12"/>
  <c r="AH34" i="12"/>
  <c r="AG33" i="12"/>
  <c r="AG20" i="12"/>
  <c r="AH21" i="12"/>
  <c r="AH14" i="12" l="1"/>
  <c r="AH15" i="12" s="1"/>
  <c r="AF244" i="12"/>
  <c r="AG245" i="12"/>
  <c r="AG238" i="12"/>
  <c r="AF237" i="12"/>
  <c r="AG218" i="12"/>
  <c r="AF217" i="12"/>
  <c r="AF200" i="12"/>
  <c r="AG201" i="12"/>
  <c r="AF187" i="12"/>
  <c r="AG188" i="12"/>
  <c r="AH182" i="12"/>
  <c r="AG181" i="12"/>
  <c r="AG172" i="12"/>
  <c r="AF171" i="12"/>
  <c r="AH166" i="12"/>
  <c r="AG165" i="12"/>
  <c r="AG154" i="12"/>
  <c r="AF153" i="12"/>
  <c r="AG148" i="12"/>
  <c r="AF147" i="12"/>
  <c r="AF132" i="12"/>
  <c r="AG133" i="12"/>
  <c r="AG127" i="12"/>
  <c r="AF126" i="12"/>
  <c r="AF113" i="12"/>
  <c r="AG114" i="12"/>
  <c r="AF108" i="12"/>
  <c r="AE107" i="12"/>
  <c r="AE88" i="12"/>
  <c r="AF89" i="12"/>
  <c r="AG77" i="12"/>
  <c r="AF76" i="12"/>
  <c r="AF70" i="12"/>
  <c r="AG71" i="12"/>
  <c r="AG61" i="12"/>
  <c r="AF60" i="12"/>
  <c r="AF50" i="12"/>
  <c r="AG51" i="12"/>
  <c r="AF33" i="12"/>
  <c r="AG34" i="12"/>
  <c r="AF20" i="12"/>
  <c r="AG21" i="12"/>
  <c r="AG14" i="12" l="1"/>
  <c r="AG15" i="12" s="1"/>
  <c r="AE244" i="12"/>
  <c r="AF245" i="12"/>
  <c r="AE237" i="12"/>
  <c r="AF238" i="12"/>
  <c r="AE217" i="12"/>
  <c r="AF218" i="12"/>
  <c r="AF201" i="12"/>
  <c r="AE200" i="12"/>
  <c r="AE187" i="12"/>
  <c r="AF188" i="12"/>
  <c r="AF181" i="12"/>
  <c r="AG182" i="12"/>
  <c r="AE171" i="12"/>
  <c r="AF172" i="12"/>
  <c r="AF165" i="12"/>
  <c r="AG166" i="12"/>
  <c r="AE153" i="12"/>
  <c r="AF154" i="12"/>
  <c r="AE147" i="12"/>
  <c r="AF148" i="12"/>
  <c r="AF133" i="12"/>
  <c r="AE132" i="12"/>
  <c r="AE126" i="12"/>
  <c r="AF127" i="12"/>
  <c r="AE113" i="12"/>
  <c r="AF114" i="12"/>
  <c r="AE108" i="12"/>
  <c r="AD107" i="12"/>
  <c r="AE89" i="12"/>
  <c r="AD88" i="12"/>
  <c r="AE76" i="12"/>
  <c r="AF77" i="12"/>
  <c r="AE70" i="12"/>
  <c r="AF71" i="12"/>
  <c r="AF61" i="12"/>
  <c r="AE60" i="12"/>
  <c r="AF51" i="12"/>
  <c r="AE50" i="12"/>
  <c r="AE33" i="12"/>
  <c r="AF34" i="12"/>
  <c r="AF21" i="12"/>
  <c r="AE20" i="12"/>
  <c r="AF14" i="12" l="1"/>
  <c r="AF15" i="12" s="1"/>
  <c r="AD244" i="12"/>
  <c r="AE245" i="12"/>
  <c r="AD237" i="12"/>
  <c r="AE238" i="12"/>
  <c r="AD217" i="12"/>
  <c r="AE218" i="12"/>
  <c r="AE201" i="12"/>
  <c r="AD200" i="12"/>
  <c r="AD187" i="12"/>
  <c r="AE188" i="12"/>
  <c r="AE181" i="12"/>
  <c r="AF182" i="12"/>
  <c r="AD171" i="12"/>
  <c r="AE172" i="12"/>
  <c r="AE165" i="12"/>
  <c r="AF166" i="12"/>
  <c r="AD153" i="12"/>
  <c r="AE154" i="12"/>
  <c r="AD147" i="12"/>
  <c r="AE148" i="12"/>
  <c r="AD132" i="12"/>
  <c r="AE133" i="12"/>
  <c r="AD126" i="12"/>
  <c r="AE127" i="12"/>
  <c r="AE114" i="12"/>
  <c r="AD113" i="12"/>
  <c r="AC107" i="12"/>
  <c r="AD108" i="12"/>
  <c r="AD89" i="12"/>
  <c r="AC88" i="12"/>
  <c r="AD76" i="12"/>
  <c r="AE77" i="12"/>
  <c r="AE71" i="12"/>
  <c r="AD70" i="12"/>
  <c r="AD60" i="12"/>
  <c r="AE61" i="12"/>
  <c r="AD50" i="12"/>
  <c r="AE51" i="12"/>
  <c r="AD33" i="12"/>
  <c r="AE34" i="12"/>
  <c r="AD20" i="12"/>
  <c r="AE21" i="12"/>
  <c r="AE14" i="12" l="1"/>
  <c r="AE15" i="12" s="1"/>
  <c r="AC244" i="12"/>
  <c r="AD245" i="12"/>
  <c r="AC237" i="12"/>
  <c r="AD238" i="12"/>
  <c r="AC217" i="12"/>
  <c r="AD218" i="12"/>
  <c r="AD201" i="12"/>
  <c r="AC200" i="12"/>
  <c r="AC187" i="12"/>
  <c r="AD188" i="12"/>
  <c r="AD181" i="12"/>
  <c r="AE182" i="12"/>
  <c r="AC171" i="12"/>
  <c r="AD172" i="12"/>
  <c r="AD165" i="12"/>
  <c r="AE166" i="12"/>
  <c r="AC153" i="12"/>
  <c r="AD154" i="12"/>
  <c r="AC147" i="12"/>
  <c r="AD148" i="12"/>
  <c r="AC132" i="12"/>
  <c r="AD133" i="12"/>
  <c r="AC126" i="12"/>
  <c r="AD127" i="12"/>
  <c r="AD114" i="12"/>
  <c r="AC113" i="12"/>
  <c r="AB107" i="12"/>
  <c r="AB108" i="12" s="1"/>
  <c r="AC108" i="12"/>
  <c r="AC89" i="12"/>
  <c r="AB88" i="12"/>
  <c r="AB89" i="12" s="1"/>
  <c r="AC76" i="12"/>
  <c r="AD77" i="12"/>
  <c r="AD71" i="12"/>
  <c r="AC70" i="12"/>
  <c r="AC60" i="12"/>
  <c r="AD61" i="12"/>
  <c r="AD51" i="12"/>
  <c r="AC50" i="12"/>
  <c r="AC33" i="12"/>
  <c r="AD34" i="12"/>
  <c r="AD21" i="12"/>
  <c r="AC20" i="12"/>
  <c r="AD14" i="12" l="1"/>
  <c r="AD15" i="12" s="1"/>
  <c r="AC245" i="12"/>
  <c r="AB244" i="12"/>
  <c r="AB245" i="12" s="1"/>
  <c r="AB237" i="12"/>
  <c r="AB238" i="12" s="1"/>
  <c r="AC238" i="12"/>
  <c r="AC218" i="12"/>
  <c r="AB217" i="12"/>
  <c r="AB218" i="12" s="1"/>
  <c r="AB200" i="12"/>
  <c r="AB201" i="12" s="1"/>
  <c r="AC201" i="12"/>
  <c r="AB187" i="12"/>
  <c r="AB188" i="12" s="1"/>
  <c r="AC188" i="12"/>
  <c r="AC181" i="12"/>
  <c r="AD182" i="12"/>
  <c r="AC172" i="12"/>
  <c r="AB171" i="12"/>
  <c r="AB172" i="12" s="1"/>
  <c r="AC165" i="12"/>
  <c r="AD166" i="12"/>
  <c r="AB153" i="12"/>
  <c r="AB154" i="12" s="1"/>
  <c r="AC154" i="12"/>
  <c r="AB147" i="12"/>
  <c r="AB148" i="12" s="1"/>
  <c r="AC148" i="12"/>
  <c r="AB132" i="12"/>
  <c r="AB133" i="12" s="1"/>
  <c r="AC133" i="12"/>
  <c r="AB126" i="12"/>
  <c r="AB127" i="12" s="1"/>
  <c r="AC127" i="12"/>
  <c r="AC114" i="12"/>
  <c r="AB113" i="12"/>
  <c r="AB114" i="12" s="1"/>
  <c r="AB76" i="12"/>
  <c r="AB77" i="12" s="1"/>
  <c r="AC77" i="12"/>
  <c r="AB70" i="12"/>
  <c r="AB71" i="12" s="1"/>
  <c r="AC71" i="12"/>
  <c r="AB60" i="12"/>
  <c r="AB61" i="12" s="1"/>
  <c r="AC61" i="12"/>
  <c r="AB50" i="12"/>
  <c r="AB51" i="12" s="1"/>
  <c r="AC51" i="12"/>
  <c r="AB33" i="12"/>
  <c r="AB34" i="12" s="1"/>
  <c r="AC34" i="12"/>
  <c r="AB20" i="12"/>
  <c r="AB21" i="12" s="1"/>
  <c r="AC21" i="12"/>
  <c r="AC14" i="12" l="1"/>
  <c r="AC15" i="12" s="1"/>
  <c r="AB181" i="12"/>
  <c r="AB182" i="12" s="1"/>
  <c r="AC182" i="12"/>
  <c r="AB165" i="12"/>
  <c r="AB166" i="12" s="1"/>
  <c r="AC166" i="12"/>
  <c r="AB14" i="12" l="1"/>
  <c r="AB15" i="12" s="1"/>
  <c r="AE68" i="6"/>
  <c r="AE15" i="9"/>
  <c r="AE49" i="10"/>
  <c r="AE69" i="6" l="1"/>
  <c r="AE65" i="9"/>
  <c r="AE61" i="6"/>
  <c r="AI62" i="6" s="1"/>
  <c r="AE58" i="6"/>
  <c r="AE57" i="6"/>
  <c r="AE55" i="6"/>
  <c r="AE54" i="6"/>
  <c r="AE51" i="6"/>
  <c r="AI52" i="6" s="1"/>
  <c r="AE38" i="6"/>
  <c r="AU189" i="12" s="1"/>
  <c r="AE37" i="6"/>
  <c r="AE33" i="6"/>
  <c r="AE32" i="6"/>
  <c r="AU155" i="12" s="1"/>
  <c r="AE31" i="6"/>
  <c r="AE47" i="6" s="1"/>
  <c r="AI48" i="6" s="1"/>
  <c r="AE50" i="6"/>
  <c r="AE76" i="10"/>
  <c r="AU239" i="12" s="1"/>
  <c r="AE61" i="10"/>
  <c r="AE63" i="10" s="1"/>
  <c r="AU219" i="12" s="1"/>
  <c r="AE75" i="10"/>
  <c r="AE52" i="10"/>
  <c r="AE40" i="10"/>
  <c r="AE36" i="10"/>
  <c r="AE33" i="10"/>
  <c r="AE27" i="10"/>
  <c r="AE17" i="10"/>
  <c r="AE14" i="10"/>
  <c r="AE112" i="9"/>
  <c r="AI119" i="9" s="1"/>
  <c r="AU246" i="12"/>
  <c r="AE95" i="9"/>
  <c r="AE93" i="9"/>
  <c r="AE87" i="9"/>
  <c r="AU128" i="12" s="1"/>
  <c r="AE86" i="9"/>
  <c r="AE82" i="9"/>
  <c r="AE81" i="9"/>
  <c r="AE79" i="9"/>
  <c r="AE78" i="9"/>
  <c r="AE77" i="9"/>
  <c r="AE76" i="9"/>
  <c r="AE74" i="9"/>
  <c r="AE72" i="9"/>
  <c r="AU35" i="12" s="1"/>
  <c r="AE71" i="9"/>
  <c r="AU22" i="12" s="1"/>
  <c r="AE68" i="9"/>
  <c r="AE63" i="9"/>
  <c r="AE64" i="9" s="1"/>
  <c r="AE44" i="9"/>
  <c r="AE43" i="9"/>
  <c r="AI45" i="9" s="1"/>
  <c r="AE114" i="9"/>
  <c r="AE40" i="9"/>
  <c r="AE41" i="9" s="1"/>
  <c r="AE111" i="9"/>
  <c r="AE110" i="9"/>
  <c r="AI84" i="9" l="1"/>
  <c r="AI107" i="9"/>
  <c r="AU52" i="12"/>
  <c r="AI117" i="9"/>
  <c r="AU53" i="12"/>
  <c r="AI118" i="9"/>
  <c r="AU56" i="12"/>
  <c r="AI121" i="9"/>
  <c r="AU115" i="12"/>
  <c r="AU202" i="12"/>
  <c r="AU54" i="12"/>
  <c r="AU78" i="12"/>
  <c r="AE40" i="6"/>
  <c r="AI41" i="6" s="1"/>
  <c r="AE44" i="6"/>
  <c r="AE113" i="9"/>
  <c r="AI120" i="9" s="1"/>
  <c r="AC63" i="9"/>
  <c r="AC64" i="9" s="1"/>
  <c r="AB63" i="9"/>
  <c r="AB64" i="9" s="1"/>
  <c r="X63" i="9"/>
  <c r="X64" i="9" s="1"/>
  <c r="AD63" i="9"/>
  <c r="AD64" i="9" s="1"/>
  <c r="AU167" i="12" l="1"/>
  <c r="AF42" i="6"/>
  <c r="AU72" i="12"/>
  <c r="AU55" i="12"/>
  <c r="Y46" i="10"/>
  <c r="Z46" i="10" s="1"/>
  <c r="AD52" i="10"/>
  <c r="AC52" i="10"/>
  <c r="AB52" i="10"/>
  <c r="AA52" i="10"/>
  <c r="Z52" i="10"/>
  <c r="Y52" i="10"/>
  <c r="X52" i="10"/>
  <c r="W52" i="10"/>
  <c r="V52" i="10"/>
  <c r="U52" i="10"/>
  <c r="T52" i="10"/>
  <c r="S52" i="10"/>
  <c r="R52" i="10"/>
  <c r="Q52" i="10"/>
  <c r="P52" i="10"/>
  <c r="O52" i="10"/>
  <c r="N52" i="10"/>
  <c r="M52" i="10"/>
  <c r="L52" i="10"/>
  <c r="K52" i="10"/>
  <c r="J52" i="10"/>
  <c r="I52" i="10"/>
  <c r="H52" i="10"/>
  <c r="G52" i="10"/>
  <c r="F52" i="10"/>
  <c r="E52" i="10"/>
  <c r="AB49" i="10"/>
  <c r="AA49" i="10"/>
  <c r="Z49" i="10"/>
  <c r="Y49" i="10"/>
  <c r="X49" i="10"/>
  <c r="W49" i="10"/>
  <c r="V49" i="10"/>
  <c r="U49" i="10"/>
  <c r="T49" i="10"/>
  <c r="S49" i="10"/>
  <c r="R49" i="10"/>
  <c r="Q49" i="10"/>
  <c r="P49" i="10"/>
  <c r="O49" i="10"/>
  <c r="N49" i="10"/>
  <c r="M49" i="10"/>
  <c r="L49" i="10"/>
  <c r="K49" i="10"/>
  <c r="J49" i="10"/>
  <c r="I49" i="10"/>
  <c r="H49" i="10"/>
  <c r="G49" i="10"/>
  <c r="F49" i="10"/>
  <c r="E49" i="10"/>
  <c r="AC49" i="10"/>
  <c r="AD49" i="10"/>
  <c r="AW40" i="10"/>
  <c r="AD39" i="9" l="1"/>
  <c r="AD38" i="9"/>
  <c r="AD37" i="9"/>
  <c r="AD36" i="9"/>
  <c r="AD35" i="9"/>
  <c r="AD16" i="9"/>
  <c r="AD55" i="10"/>
  <c r="AD76" i="10" s="1"/>
  <c r="AT239" i="12" s="1"/>
  <c r="AD54" i="10"/>
  <c r="AD31" i="6"/>
  <c r="AD40" i="6" s="1"/>
  <c r="AH41" i="6" s="1"/>
  <c r="AD32" i="6"/>
  <c r="AT155" i="12" s="1"/>
  <c r="AD33" i="6"/>
  <c r="AD37" i="6"/>
  <c r="AT173" i="12" s="1"/>
  <c r="AD54" i="6"/>
  <c r="AD55" i="6"/>
  <c r="AD57" i="6"/>
  <c r="AD58" i="6"/>
  <c r="AD7" i="10"/>
  <c r="AD14" i="10"/>
  <c r="AD17" i="10"/>
  <c r="AD21" i="10"/>
  <c r="AD27" i="10"/>
  <c r="AD33" i="10"/>
  <c r="AD36" i="10"/>
  <c r="AD40" i="10"/>
  <c r="AD61" i="10"/>
  <c r="AD43" i="9"/>
  <c r="AH45" i="9" s="1"/>
  <c r="AD68" i="9"/>
  <c r="AD72" i="9"/>
  <c r="AT35" i="12" s="1"/>
  <c r="AD76" i="9"/>
  <c r="AD77" i="9"/>
  <c r="AD78" i="9"/>
  <c r="AD79" i="9"/>
  <c r="AD81" i="9"/>
  <c r="AD82" i="9"/>
  <c r="AD14" i="9" l="1"/>
  <c r="AD24" i="9" s="1"/>
  <c r="AH106" i="9"/>
  <c r="AH105" i="9"/>
  <c r="AD17" i="9"/>
  <c r="AD75" i="10"/>
  <c r="AD97" i="9"/>
  <c r="AH98" i="9" s="1"/>
  <c r="AD112" i="9"/>
  <c r="AH119" i="9" s="1"/>
  <c r="AH104" i="9"/>
  <c r="AD61" i="6"/>
  <c r="AH62" i="6" s="1"/>
  <c r="AH103" i="9"/>
  <c r="AD110" i="9"/>
  <c r="AH102" i="9"/>
  <c r="AD114" i="9"/>
  <c r="AT246" i="12"/>
  <c r="AT115" i="12"/>
  <c r="AT78" i="12"/>
  <c r="AT54" i="12"/>
  <c r="AD111" i="9"/>
  <c r="AE42" i="6"/>
  <c r="AT167" i="12"/>
  <c r="AD40" i="9"/>
  <c r="AD41" i="9" s="1"/>
  <c r="AD113" i="9"/>
  <c r="AH120" i="9" s="1"/>
  <c r="AD63" i="10"/>
  <c r="AT219" i="12" s="1"/>
  <c r="AD86" i="9"/>
  <c r="AT110" i="12" s="1"/>
  <c r="AD44" i="9"/>
  <c r="AC47" i="9"/>
  <c r="AD8" i="9" l="1"/>
  <c r="AD29" i="9"/>
  <c r="AH84" i="9"/>
  <c r="AH107" i="9"/>
  <c r="AD47" i="9"/>
  <c r="AT56" i="12"/>
  <c r="AH121" i="9"/>
  <c r="AT53" i="12"/>
  <c r="AH118" i="9"/>
  <c r="AT52" i="12"/>
  <c r="AH117" i="9"/>
  <c r="AT55" i="12"/>
  <c r="AT72" i="12"/>
  <c r="AC16" i="9"/>
  <c r="AC7" i="6"/>
  <c r="AC14" i="10"/>
  <c r="AC54" i="9"/>
  <c r="AC52" i="9"/>
  <c r="AD52" i="9" s="1"/>
  <c r="AE52" i="9" s="1"/>
  <c r="AC51" i="9"/>
  <c r="AC50" i="9"/>
  <c r="AC49" i="9"/>
  <c r="AC20" i="6"/>
  <c r="AC31" i="6"/>
  <c r="AC40" i="6" s="1"/>
  <c r="AG41" i="6" s="1"/>
  <c r="AC32" i="6"/>
  <c r="AS155" i="12" s="1"/>
  <c r="AC33" i="6"/>
  <c r="AC54" i="6"/>
  <c r="AC55" i="6"/>
  <c r="AC57" i="6"/>
  <c r="AC58" i="6"/>
  <c r="AC61" i="6"/>
  <c r="AG62" i="6" s="1"/>
  <c r="AC7" i="10"/>
  <c r="AC17" i="10"/>
  <c r="AC21" i="10"/>
  <c r="AC27" i="10"/>
  <c r="AC33" i="10"/>
  <c r="AC36" i="10"/>
  <c r="AC40" i="10"/>
  <c r="AC75" i="10"/>
  <c r="AC76" i="10"/>
  <c r="AS239" i="12" s="1"/>
  <c r="AC42" i="9"/>
  <c r="AC112" i="9"/>
  <c r="AG119" i="9" s="1"/>
  <c r="AC40" i="9"/>
  <c r="AC68" i="9"/>
  <c r="AC72" i="9"/>
  <c r="AS35" i="12" s="1"/>
  <c r="AC77" i="9"/>
  <c r="AC78" i="9"/>
  <c r="AC82" i="9"/>
  <c r="AD6" i="9" l="1"/>
  <c r="AC41" i="9"/>
  <c r="AC14" i="9"/>
  <c r="AC24" i="9" s="1"/>
  <c r="AG84" i="9"/>
  <c r="AG107" i="9"/>
  <c r="AG44" i="6"/>
  <c r="AU183" i="12" s="1"/>
  <c r="AG37" i="6"/>
  <c r="AU173" i="12" s="1"/>
  <c r="AD50" i="9"/>
  <c r="AD51" i="9"/>
  <c r="AD49" i="9"/>
  <c r="AD54" i="9"/>
  <c r="AE47" i="9"/>
  <c r="AQ109" i="12"/>
  <c r="AC131" i="9"/>
  <c r="AC97" i="9"/>
  <c r="AR109" i="12"/>
  <c r="AG86" i="9"/>
  <c r="AU110" i="12" s="1"/>
  <c r="AF64" i="10"/>
  <c r="AS109" i="12"/>
  <c r="AS78" i="12"/>
  <c r="AS54" i="12"/>
  <c r="AD42" i="6"/>
  <c r="AS167" i="12"/>
  <c r="AE64" i="10"/>
  <c r="AD87" i="9"/>
  <c r="AT128" i="12" s="1"/>
  <c r="AD64" i="10"/>
  <c r="AC37" i="6"/>
  <c r="AS173" i="12" s="1"/>
  <c r="AD38" i="6"/>
  <c r="AT189" i="12" s="1"/>
  <c r="AC51" i="6"/>
  <c r="AG52" i="6" s="1"/>
  <c r="AD7" i="6"/>
  <c r="AC87" i="9"/>
  <c r="AS128" i="12" s="1"/>
  <c r="AC44" i="9"/>
  <c r="AC50" i="6"/>
  <c r="AC38" i="6"/>
  <c r="AS189" i="12" s="1"/>
  <c r="AC91" i="9"/>
  <c r="AC45" i="6"/>
  <c r="AC47" i="6"/>
  <c r="AG48" i="6" s="1"/>
  <c r="AC61" i="10"/>
  <c r="AC111" i="9"/>
  <c r="AC43" i="9"/>
  <c r="AC110" i="9"/>
  <c r="AC113" i="9"/>
  <c r="AG120" i="9" s="1"/>
  <c r="AC17" i="9"/>
  <c r="AC114" i="9"/>
  <c r="AC79" i="9"/>
  <c r="T63" i="9"/>
  <c r="T64" i="9" s="1"/>
  <c r="P63" i="9"/>
  <c r="P64" i="9" s="1"/>
  <c r="O63" i="9"/>
  <c r="O64" i="9" s="1"/>
  <c r="N63" i="9"/>
  <c r="N64" i="9" s="1"/>
  <c r="M63" i="9"/>
  <c r="M64" i="9" s="1"/>
  <c r="L63" i="9"/>
  <c r="L64" i="9" s="1"/>
  <c r="Y62" i="9"/>
  <c r="W62" i="9"/>
  <c r="Y61" i="9"/>
  <c r="W61" i="9"/>
  <c r="Y60" i="9"/>
  <c r="W60" i="9"/>
  <c r="Y57" i="9"/>
  <c r="U57" i="9"/>
  <c r="Q57" i="9"/>
  <c r="M57" i="9"/>
  <c r="Y56" i="9"/>
  <c r="Y54" i="9"/>
  <c r="U54" i="9"/>
  <c r="X51" i="9"/>
  <c r="T51" i="9"/>
  <c r="U51" i="9" s="1"/>
  <c r="V51" i="9" s="1"/>
  <c r="W51" i="9" s="1"/>
  <c r="Y50" i="9"/>
  <c r="U50" i="9"/>
  <c r="Y49" i="9"/>
  <c r="U49" i="9"/>
  <c r="X47" i="9"/>
  <c r="O47" i="9"/>
  <c r="O52" i="9" s="1"/>
  <c r="O56" i="9" s="1"/>
  <c r="N47" i="9"/>
  <c r="N52" i="9" s="1"/>
  <c r="N56" i="9" s="1"/>
  <c r="M47" i="9"/>
  <c r="M52" i="9" s="1"/>
  <c r="M56" i="9" s="1"/>
  <c r="L47" i="9"/>
  <c r="L52" i="9" s="1"/>
  <c r="L56" i="9" s="1"/>
  <c r="AB46" i="9"/>
  <c r="Y46" i="9"/>
  <c r="U46" i="9"/>
  <c r="AB44" i="9"/>
  <c r="AA44" i="9"/>
  <c r="X44" i="9"/>
  <c r="O44" i="9"/>
  <c r="N44" i="9"/>
  <c r="M44" i="9"/>
  <c r="L44" i="9"/>
  <c r="AB43" i="9"/>
  <c r="AA43" i="9"/>
  <c r="X43" i="9"/>
  <c r="Y42" i="9"/>
  <c r="AB40" i="9"/>
  <c r="AB41" i="9" s="1"/>
  <c r="Y40" i="9"/>
  <c r="AC107" i="9" s="1"/>
  <c r="T40" i="9"/>
  <c r="X107" i="9" s="1"/>
  <c r="S40" i="9"/>
  <c r="R40" i="9"/>
  <c r="Q40" i="9"/>
  <c r="P40" i="9"/>
  <c r="O40" i="9"/>
  <c r="N40" i="9"/>
  <c r="M40" i="9"/>
  <c r="L40" i="9"/>
  <c r="Y39" i="9"/>
  <c r="U39" i="9"/>
  <c r="Y38" i="9"/>
  <c r="U38" i="9"/>
  <c r="Y37" i="9"/>
  <c r="U37" i="9"/>
  <c r="Y36" i="9"/>
  <c r="U36" i="9"/>
  <c r="Y35" i="9"/>
  <c r="U35" i="9"/>
  <c r="U17" i="9"/>
  <c r="AB16" i="9"/>
  <c r="U16" i="9"/>
  <c r="U15" i="9"/>
  <c r="Q15" i="9"/>
  <c r="U13" i="9"/>
  <c r="Q13" i="9"/>
  <c r="AD28" i="9" l="1"/>
  <c r="AD30" i="9" s="1"/>
  <c r="AD32" i="9" s="1"/>
  <c r="Q7" i="9"/>
  <c r="Q6" i="9"/>
  <c r="U7" i="9"/>
  <c r="U8" i="9"/>
  <c r="U29" i="9"/>
  <c r="AC8" i="9"/>
  <c r="AC29" i="9"/>
  <c r="U6" i="9"/>
  <c r="Y10" i="9"/>
  <c r="Z14" i="9"/>
  <c r="AB14" i="9"/>
  <c r="AB24" i="9" s="1"/>
  <c r="Q14" i="9"/>
  <c r="U14" i="9"/>
  <c r="U18" i="9" s="1"/>
  <c r="P24" i="9"/>
  <c r="T24" i="9"/>
  <c r="N43" i="9"/>
  <c r="O43" i="9"/>
  <c r="L43" i="9"/>
  <c r="M43" i="9"/>
  <c r="Z40" i="9"/>
  <c r="AF84" i="9"/>
  <c r="AB107" i="9"/>
  <c r="AF107" i="9"/>
  <c r="Y106" i="9"/>
  <c r="AC106" i="9"/>
  <c r="AC93" i="9"/>
  <c r="AC81" i="9"/>
  <c r="AE54" i="9"/>
  <c r="AD91" i="9"/>
  <c r="AA7" i="9"/>
  <c r="V37" i="9"/>
  <c r="V38" i="9"/>
  <c r="V54" i="9"/>
  <c r="V17" i="9"/>
  <c r="Z54" i="9"/>
  <c r="AE51" i="9"/>
  <c r="V16" i="9"/>
  <c r="AE49" i="9"/>
  <c r="V39" i="9"/>
  <c r="V46" i="9"/>
  <c r="V49" i="9"/>
  <c r="AN109" i="12"/>
  <c r="R15" i="9"/>
  <c r="Z46" i="9"/>
  <c r="Z49" i="9"/>
  <c r="AE50" i="9"/>
  <c r="AC74" i="9"/>
  <c r="V15" i="9"/>
  <c r="V36" i="9"/>
  <c r="AF89" i="9"/>
  <c r="V50" i="9"/>
  <c r="AB45" i="9"/>
  <c r="AE45" i="6"/>
  <c r="AH44" i="6"/>
  <c r="AC133" i="9"/>
  <c r="AD133" i="9"/>
  <c r="AG132" i="9"/>
  <c r="Q65" i="9"/>
  <c r="U65" i="9"/>
  <c r="AN16" i="12"/>
  <c r="Y65" i="9"/>
  <c r="AP16" i="12"/>
  <c r="Z65" i="9"/>
  <c r="AS56" i="12"/>
  <c r="AG121" i="9"/>
  <c r="AS52" i="12"/>
  <c r="AG117" i="9"/>
  <c r="AS246" i="12"/>
  <c r="AG98" i="9"/>
  <c r="AS115" i="12"/>
  <c r="AG45" i="9"/>
  <c r="AS53" i="12"/>
  <c r="AG118" i="9"/>
  <c r="AR115" i="12"/>
  <c r="AF45" i="9"/>
  <c r="AJ16" i="12"/>
  <c r="T42" i="9"/>
  <c r="AQ115" i="12"/>
  <c r="AE45" i="9"/>
  <c r="Y63" i="9"/>
  <c r="Y64" i="9" s="1"/>
  <c r="AO16" i="12"/>
  <c r="AS72" i="12"/>
  <c r="AS55" i="12"/>
  <c r="N57" i="9"/>
  <c r="R57" i="9"/>
  <c r="V57" i="9"/>
  <c r="R13" i="9"/>
  <c r="AC86" i="9"/>
  <c r="AS110" i="12" s="1"/>
  <c r="AO109" i="12"/>
  <c r="Z63" i="9"/>
  <c r="Z64" i="9" s="1"/>
  <c r="AD71" i="9"/>
  <c r="AT22" i="12" s="1"/>
  <c r="AB17" i="9"/>
  <c r="AE16" i="9"/>
  <c r="AC46" i="9"/>
  <c r="P42" i="9"/>
  <c r="P41" i="9" s="1"/>
  <c r="AD47" i="6"/>
  <c r="AD51" i="6"/>
  <c r="AH52" i="6" s="1"/>
  <c r="AD45" i="6"/>
  <c r="AD50" i="6"/>
  <c r="U63" i="9"/>
  <c r="U64" i="9" s="1"/>
  <c r="Q63" i="9"/>
  <c r="Q64" i="9" s="1"/>
  <c r="AC71" i="9"/>
  <c r="AS22" i="12" s="1"/>
  <c r="Z35" i="9"/>
  <c r="AC102" i="9"/>
  <c r="Z37" i="9"/>
  <c r="AC104" i="9"/>
  <c r="Y43" i="9"/>
  <c r="U40" i="9"/>
  <c r="Y107" i="9" s="1"/>
  <c r="Z36" i="9"/>
  <c r="AC103" i="9"/>
  <c r="Z39" i="9"/>
  <c r="Y44" i="9"/>
  <c r="AC76" i="9"/>
  <c r="Z57" i="9"/>
  <c r="AC95" i="9"/>
  <c r="V35" i="9"/>
  <c r="Z38" i="9"/>
  <c r="AC105" i="9"/>
  <c r="Z44" i="9"/>
  <c r="AC84" i="9"/>
  <c r="AC63" i="10"/>
  <c r="AS219" i="12" s="1"/>
  <c r="AC64" i="10"/>
  <c r="X52" i="9"/>
  <c r="Y51" i="9"/>
  <c r="Z50" i="9"/>
  <c r="Y47" i="9"/>
  <c r="V13" i="9"/>
  <c r="Q9" i="9" l="1"/>
  <c r="R6" i="9"/>
  <c r="U28" i="9"/>
  <c r="U30" i="9" s="1"/>
  <c r="AA9" i="9"/>
  <c r="AC6" i="9"/>
  <c r="Y31" i="9"/>
  <c r="Y32" i="9" s="1"/>
  <c r="V7" i="9"/>
  <c r="R7" i="9"/>
  <c r="Q28" i="9"/>
  <c r="Q30" i="9" s="1"/>
  <c r="U9" i="9"/>
  <c r="U10" i="9" s="1"/>
  <c r="V8" i="9"/>
  <c r="V29" i="9"/>
  <c r="AB8" i="9"/>
  <c r="AB29" i="9"/>
  <c r="V6" i="9"/>
  <c r="Y41" i="9"/>
  <c r="Q18" i="9"/>
  <c r="Y14" i="9"/>
  <c r="Y24" i="9" s="1"/>
  <c r="AE14" i="9"/>
  <c r="AE24" i="9" s="1"/>
  <c r="R14" i="9"/>
  <c r="V14" i="9"/>
  <c r="T41" i="9"/>
  <c r="L24" i="9"/>
  <c r="L41" i="9"/>
  <c r="O24" i="9"/>
  <c r="O41" i="9"/>
  <c r="N24" i="9"/>
  <c r="N41" i="9"/>
  <c r="M24" i="9"/>
  <c r="M41" i="9"/>
  <c r="AD84" i="9"/>
  <c r="AD107" i="9"/>
  <c r="Z106" i="9"/>
  <c r="AD106" i="9"/>
  <c r="AA46" i="9"/>
  <c r="AE91" i="9"/>
  <c r="AA63" i="9"/>
  <c r="AA64" i="9" s="1"/>
  <c r="R63" i="9"/>
  <c r="R64" i="9" s="1"/>
  <c r="AA65" i="9"/>
  <c r="V63" i="9"/>
  <c r="V64" i="9" s="1"/>
  <c r="W15" i="9"/>
  <c r="Z51" i="9"/>
  <c r="V40" i="9"/>
  <c r="Z107" i="9" s="1"/>
  <c r="S15" i="9"/>
  <c r="W39" i="9"/>
  <c r="AA54" i="9"/>
  <c r="W16" i="9"/>
  <c r="W17" i="9"/>
  <c r="W50" i="9"/>
  <c r="W54" i="9"/>
  <c r="AA49" i="9"/>
  <c r="W38" i="9"/>
  <c r="AO134" i="12"/>
  <c r="W49" i="9"/>
  <c r="W36" i="9"/>
  <c r="AA50" i="9"/>
  <c r="AE17" i="9"/>
  <c r="T47" i="9"/>
  <c r="T52" i="9" s="1"/>
  <c r="T56" i="9" s="1"/>
  <c r="W46" i="9"/>
  <c r="W37" i="9"/>
  <c r="AF134" i="12"/>
  <c r="AJ134" i="12"/>
  <c r="T44" i="9"/>
  <c r="T43" i="9"/>
  <c r="X45" i="9" s="1"/>
  <c r="AT202" i="12"/>
  <c r="AH48" i="6"/>
  <c r="R65" i="9"/>
  <c r="S13" i="9"/>
  <c r="AN134" i="12"/>
  <c r="P43" i="9"/>
  <c r="AG16" i="12"/>
  <c r="AK16" i="12"/>
  <c r="V65" i="9"/>
  <c r="AC45" i="9"/>
  <c r="AC67" i="10"/>
  <c r="AG89" i="9"/>
  <c r="P44" i="9"/>
  <c r="AD46" i="9"/>
  <c r="AS202" i="12"/>
  <c r="P47" i="9"/>
  <c r="P52" i="9" s="1"/>
  <c r="P56" i="9" s="1"/>
  <c r="W13" i="9"/>
  <c r="AL16" i="12"/>
  <c r="AD95" i="9"/>
  <c r="AP134" i="12"/>
  <c r="AC89" i="9"/>
  <c r="S57" i="9"/>
  <c r="W57" i="9"/>
  <c r="AL134" i="12"/>
  <c r="O57" i="9"/>
  <c r="AC77" i="10"/>
  <c r="AA39" i="9"/>
  <c r="W35" i="9"/>
  <c r="AA36" i="9"/>
  <c r="AD103" i="9"/>
  <c r="AT91" i="12" s="1"/>
  <c r="AA37" i="9"/>
  <c r="AD104" i="9"/>
  <c r="AT92" i="12" s="1"/>
  <c r="AA35" i="9"/>
  <c r="AD102" i="9"/>
  <c r="AT90" i="12" s="1"/>
  <c r="AA38" i="9"/>
  <c r="AD105" i="9"/>
  <c r="AT93" i="12" s="1"/>
  <c r="V18" i="9"/>
  <c r="U42" i="9"/>
  <c r="Z47" i="9"/>
  <c r="Y52" i="9"/>
  <c r="S6" i="9" l="1"/>
  <c r="AC28" i="9"/>
  <c r="AC30" i="9" s="1"/>
  <c r="AC32" i="9" s="1"/>
  <c r="AB6" i="9"/>
  <c r="R28" i="9"/>
  <c r="R30" i="9" s="1"/>
  <c r="S7" i="9"/>
  <c r="W7" i="9"/>
  <c r="U31" i="9"/>
  <c r="U32" i="9" s="1"/>
  <c r="R9" i="9"/>
  <c r="W8" i="9"/>
  <c r="W29" i="9"/>
  <c r="V9" i="9"/>
  <c r="V10" i="9" s="1"/>
  <c r="V28" i="9"/>
  <c r="V30" i="9" s="1"/>
  <c r="W6" i="9"/>
  <c r="AE8" i="9"/>
  <c r="AE29" i="9"/>
  <c r="U24" i="9"/>
  <c r="Q42" i="9"/>
  <c r="Q44" i="9" s="1"/>
  <c r="Q10" i="9"/>
  <c r="R18" i="9"/>
  <c r="S14" i="9"/>
  <c r="AA14" i="9"/>
  <c r="AA24" i="9" s="1"/>
  <c r="U41" i="9"/>
  <c r="W14" i="9"/>
  <c r="AC68" i="10"/>
  <c r="AE106" i="9"/>
  <c r="AA106" i="9"/>
  <c r="AD77" i="10"/>
  <c r="AD68" i="10"/>
  <c r="AA51" i="9"/>
  <c r="Z52" i="9"/>
  <c r="Z56" i="9" s="1"/>
  <c r="AE105" i="9"/>
  <c r="AU93" i="12" s="1"/>
  <c r="AE103" i="9"/>
  <c r="AU91" i="12" s="1"/>
  <c r="AH134" i="12"/>
  <c r="W40" i="9"/>
  <c r="AB134" i="12"/>
  <c r="AH89" i="9"/>
  <c r="W18" i="9"/>
  <c r="AE102" i="9"/>
  <c r="AU90" i="12" s="1"/>
  <c r="AE104" i="9"/>
  <c r="AU92" i="12" s="1"/>
  <c r="AI16" i="12"/>
  <c r="S63" i="9"/>
  <c r="S64" i="9" s="1"/>
  <c r="AE134" i="12"/>
  <c r="AB16" i="12"/>
  <c r="AF16" i="12"/>
  <c r="AD89" i="9"/>
  <c r="AC16" i="12"/>
  <c r="AE46" i="9"/>
  <c r="AD67" i="10"/>
  <c r="AH16" i="12"/>
  <c r="AD16" i="12"/>
  <c r="S65" i="9"/>
  <c r="AE16" i="12"/>
  <c r="AP115" i="12"/>
  <c r="AI134" i="12"/>
  <c r="AG134" i="12"/>
  <c r="AN115" i="12"/>
  <c r="W65" i="9"/>
  <c r="W63" i="9"/>
  <c r="W64" i="9" s="1"/>
  <c r="AM134" i="12"/>
  <c r="AK134" i="12"/>
  <c r="AC134" i="12"/>
  <c r="AD134" i="12"/>
  <c r="AS91" i="12"/>
  <c r="AS90" i="12"/>
  <c r="AS92" i="12"/>
  <c r="AS93" i="12"/>
  <c r="AO115" i="12"/>
  <c r="AM16" i="12"/>
  <c r="AA40" i="9"/>
  <c r="AA41" i="9" s="1"/>
  <c r="U43" i="9"/>
  <c r="Y45" i="9" s="1"/>
  <c r="U44" i="9"/>
  <c r="V42" i="9"/>
  <c r="U47" i="9"/>
  <c r="U52" i="9" s="1"/>
  <c r="U56" i="9" s="1"/>
  <c r="AA47" i="9"/>
  <c r="V31" i="9" l="1"/>
  <c r="V32" i="9" s="1"/>
  <c r="AB28" i="9"/>
  <c r="AB30" i="9" s="1"/>
  <c r="AB32" i="9" s="1"/>
  <c r="W28" i="9"/>
  <c r="AE6" i="9"/>
  <c r="S28" i="9"/>
  <c r="S30" i="9" s="1"/>
  <c r="Q31" i="9"/>
  <c r="Q32" i="9" s="1"/>
  <c r="S9" i="9"/>
  <c r="W30" i="9"/>
  <c r="Q47" i="9"/>
  <c r="Q52" i="9" s="1"/>
  <c r="Q56" i="9" s="1"/>
  <c r="W9" i="9"/>
  <c r="AA10" i="9"/>
  <c r="Q43" i="9"/>
  <c r="Q41" i="9"/>
  <c r="V24" i="9"/>
  <c r="Q24" i="9"/>
  <c r="R24" i="9"/>
  <c r="R10" i="9"/>
  <c r="R42" i="9"/>
  <c r="R47" i="9" s="1"/>
  <c r="R52" i="9" s="1"/>
  <c r="R56" i="9" s="1"/>
  <c r="S18" i="9"/>
  <c r="V41" i="9"/>
  <c r="AA52" i="9"/>
  <c r="AE84" i="9"/>
  <c r="AA107" i="9"/>
  <c r="AE107" i="9"/>
  <c r="AD93" i="9"/>
  <c r="AG68" i="10"/>
  <c r="AE89" i="9"/>
  <c r="AE77" i="10"/>
  <c r="AI89" i="9"/>
  <c r="AH68" i="10"/>
  <c r="AG109" i="12"/>
  <c r="AE68" i="10"/>
  <c r="AE67" i="10"/>
  <c r="AF68" i="10"/>
  <c r="AF109" i="12"/>
  <c r="AJ109" i="12"/>
  <c r="AL109" i="12"/>
  <c r="AJ115" i="12"/>
  <c r="AK109" i="12"/>
  <c r="V47" i="9"/>
  <c r="V52" i="9" s="1"/>
  <c r="V56" i="9" s="1"/>
  <c r="W42" i="9"/>
  <c r="V43" i="9"/>
  <c r="V44" i="9"/>
  <c r="L17" i="6"/>
  <c r="M17" i="6"/>
  <c r="N17" i="6"/>
  <c r="O17" i="6"/>
  <c r="P17" i="6"/>
  <c r="Q17" i="6"/>
  <c r="R17" i="6"/>
  <c r="S17" i="6"/>
  <c r="T17" i="6"/>
  <c r="U17" i="6"/>
  <c r="V17" i="6"/>
  <c r="W18" i="6"/>
  <c r="R31" i="9" l="1"/>
  <c r="R32" i="9" s="1"/>
  <c r="AE28" i="9"/>
  <c r="AE30" i="9" s="1"/>
  <c r="AE32" i="9" s="1"/>
  <c r="AA31" i="9"/>
  <c r="AA32" i="9" s="1"/>
  <c r="W10" i="9"/>
  <c r="W24" i="9"/>
  <c r="S42" i="9"/>
  <c r="S43" i="9" s="1"/>
  <c r="S10" i="9"/>
  <c r="R43" i="9"/>
  <c r="R41" i="9"/>
  <c r="R44" i="9"/>
  <c r="S24" i="9"/>
  <c r="W41" i="9"/>
  <c r="AB149" i="12"/>
  <c r="AB109" i="12"/>
  <c r="W56" i="9"/>
  <c r="AC109" i="12"/>
  <c r="AC149" i="12"/>
  <c r="AD149" i="12"/>
  <c r="AD109" i="12"/>
  <c r="AF149" i="12"/>
  <c r="AE149" i="12"/>
  <c r="AH109" i="12"/>
  <c r="AE109" i="12"/>
  <c r="AH149" i="12"/>
  <c r="AG149" i="12"/>
  <c r="W69" i="6"/>
  <c r="AI149" i="12"/>
  <c r="AM109" i="12"/>
  <c r="AI109" i="12"/>
  <c r="AL149" i="12"/>
  <c r="AK149" i="12"/>
  <c r="AM149" i="12"/>
  <c r="W17" i="6"/>
  <c r="W47" i="9"/>
  <c r="W52" i="9" s="1"/>
  <c r="W44" i="9"/>
  <c r="W43" i="9"/>
  <c r="AE115" i="12" s="1"/>
  <c r="AB32" i="10"/>
  <c r="AB36" i="10" s="1"/>
  <c r="AB25" i="10"/>
  <c r="AB20" i="10"/>
  <c r="AB21" i="10" s="1"/>
  <c r="AB14" i="10"/>
  <c r="AB7" i="10"/>
  <c r="AB89" i="9"/>
  <c r="AB61" i="6"/>
  <c r="AF62" i="6" s="1"/>
  <c r="AB58" i="6"/>
  <c r="AB57" i="6"/>
  <c r="AB55" i="6"/>
  <c r="AB54" i="6"/>
  <c r="AB51" i="6"/>
  <c r="AF52" i="6" s="1"/>
  <c r="AB50" i="6"/>
  <c r="AB45" i="6"/>
  <c r="AB44" i="6"/>
  <c r="AB38" i="6"/>
  <c r="AR189" i="12" s="1"/>
  <c r="AB37" i="6"/>
  <c r="AR173" i="12" s="1"/>
  <c r="AB33" i="6"/>
  <c r="AB32" i="6"/>
  <c r="AR155" i="12" s="1"/>
  <c r="AB31" i="6"/>
  <c r="AB40" i="6" s="1"/>
  <c r="AF41" i="6" s="1"/>
  <c r="AB76" i="10"/>
  <c r="AR239" i="12" s="1"/>
  <c r="AB75" i="10"/>
  <c r="AB40" i="10"/>
  <c r="AB17" i="10"/>
  <c r="AB114" i="9"/>
  <c r="AB113" i="9"/>
  <c r="AB112" i="9"/>
  <c r="AB111" i="9"/>
  <c r="AB110" i="9"/>
  <c r="AB105" i="9"/>
  <c r="AR93" i="12" s="1"/>
  <c r="AB104" i="9"/>
  <c r="AR92" i="12" s="1"/>
  <c r="AB103" i="9"/>
  <c r="AR91" i="12" s="1"/>
  <c r="AB102" i="9"/>
  <c r="AR90" i="12" s="1"/>
  <c r="AB95" i="9"/>
  <c r="AB93" i="9"/>
  <c r="AB87" i="9"/>
  <c r="AR128" i="12" s="1"/>
  <c r="AB86" i="9"/>
  <c r="AR110" i="12" s="1"/>
  <c r="AB82" i="9"/>
  <c r="AB81" i="9"/>
  <c r="AB79" i="9"/>
  <c r="AB78" i="9"/>
  <c r="AB77" i="9"/>
  <c r="AB76" i="9"/>
  <c r="AB74" i="9"/>
  <c r="AB72" i="9"/>
  <c r="AR35" i="12" s="1"/>
  <c r="AB71" i="9"/>
  <c r="AR22" i="12" s="1"/>
  <c r="AB68" i="9"/>
  <c r="AB91" i="9"/>
  <c r="AB84" i="9"/>
  <c r="W31" i="9" l="1"/>
  <c r="W32" i="9" s="1"/>
  <c r="S31" i="9"/>
  <c r="S32" i="9" s="1"/>
  <c r="S47" i="9"/>
  <c r="S52" i="9" s="1"/>
  <c r="S56" i="9" s="1"/>
  <c r="S44" i="9"/>
  <c r="S41" i="9"/>
  <c r="X30" i="6"/>
  <c r="AC115" i="12"/>
  <c r="AD115" i="12"/>
  <c r="AI115" i="12"/>
  <c r="AF115" i="12"/>
  <c r="AG115" i="12"/>
  <c r="AH115" i="12"/>
  <c r="AM115" i="12"/>
  <c r="AA45" i="9"/>
  <c r="AK115" i="12"/>
  <c r="AL115" i="12"/>
  <c r="AR246" i="12"/>
  <c r="AF98" i="9"/>
  <c r="AF117" i="9"/>
  <c r="AR52" i="12"/>
  <c r="AF118" i="9"/>
  <c r="AR53" i="12"/>
  <c r="AF119" i="9"/>
  <c r="AR54" i="12"/>
  <c r="AR78" i="12"/>
  <c r="AF120" i="9"/>
  <c r="AR55" i="12"/>
  <c r="AR72" i="12"/>
  <c r="AF121" i="9"/>
  <c r="AR56" i="12"/>
  <c r="AC42" i="6"/>
  <c r="AR167" i="12"/>
  <c r="AB61" i="10"/>
  <c r="AB63" i="10" s="1"/>
  <c r="AR219" i="12" s="1"/>
  <c r="AB27" i="10"/>
  <c r="AB33" i="10"/>
  <c r="AB67" i="10"/>
  <c r="AB77" i="10"/>
  <c r="AB47" i="6"/>
  <c r="AA97" i="9"/>
  <c r="AA8" i="10"/>
  <c r="AF48" i="6" l="1"/>
  <c r="AR202" i="12"/>
  <c r="AE98" i="9"/>
  <c r="AQ246" i="12"/>
  <c r="X61" i="6"/>
  <c r="AB62" i="6" s="1"/>
  <c r="T61" i="6"/>
  <c r="S61" i="6"/>
  <c r="R61" i="6"/>
  <c r="Q61" i="6"/>
  <c r="P61" i="6"/>
  <c r="O61" i="6"/>
  <c r="N61" i="6"/>
  <c r="M61" i="6"/>
  <c r="L61" i="6"/>
  <c r="K61" i="6"/>
  <c r="J61" i="6"/>
  <c r="I61" i="6"/>
  <c r="H61" i="6"/>
  <c r="G61" i="6"/>
  <c r="F61" i="6"/>
  <c r="E61" i="6"/>
  <c r="AA58" i="6"/>
  <c r="AA57" i="6"/>
  <c r="AA55" i="6"/>
  <c r="AA54" i="6"/>
  <c r="AA51" i="6"/>
  <c r="AE52" i="6" s="1"/>
  <c r="AA50" i="6"/>
  <c r="AA38" i="6"/>
  <c r="AQ189" i="12" s="1"/>
  <c r="AA32" i="6"/>
  <c r="AQ155" i="12" s="1"/>
  <c r="AA31" i="6"/>
  <c r="AA40" i="6" s="1"/>
  <c r="AQ167" i="12" s="1"/>
  <c r="AA75" i="10"/>
  <c r="AA61" i="10"/>
  <c r="AA76" i="10"/>
  <c r="AQ239" i="12" s="1"/>
  <c r="AA40" i="10"/>
  <c r="AA34" i="10"/>
  <c r="AA28" i="10"/>
  <c r="AA22" i="10"/>
  <c r="AA15" i="10"/>
  <c r="AA87" i="9"/>
  <c r="AQ128" i="12" s="1"/>
  <c r="AA82" i="9"/>
  <c r="AA77" i="9"/>
  <c r="AA68" i="9"/>
  <c r="AB42" i="6" l="1"/>
  <c r="AE41" i="6"/>
  <c r="AA36" i="10"/>
  <c r="AA17" i="10"/>
  <c r="AA47" i="6"/>
  <c r="AA63" i="10"/>
  <c r="AQ219" i="12" s="1"/>
  <c r="AA79" i="9"/>
  <c r="AA72" i="9"/>
  <c r="AQ35" i="12" s="1"/>
  <c r="AA78" i="9"/>
  <c r="X34" i="10"/>
  <c r="Y34" i="10"/>
  <c r="X28" i="10"/>
  <c r="Y28" i="10"/>
  <c r="X22" i="10"/>
  <c r="Y22" i="10"/>
  <c r="Y15" i="10"/>
  <c r="Z15" i="10"/>
  <c r="X15" i="10"/>
  <c r="Y8" i="10"/>
  <c r="Z8" i="10"/>
  <c r="X8" i="10"/>
  <c r="Z34" i="10"/>
  <c r="Z28" i="10"/>
  <c r="Z22" i="10"/>
  <c r="AQ202" i="12" l="1"/>
  <c r="AE48" i="6"/>
  <c r="Y17" i="10"/>
  <c r="X17" i="10"/>
  <c r="Y36" i="10"/>
  <c r="Z17" i="10"/>
  <c r="Z36" i="10"/>
  <c r="X36" i="10"/>
  <c r="Z31" i="6"/>
  <c r="Z40" i="6" s="1"/>
  <c r="AP167" i="12" s="1"/>
  <c r="Z32" i="6"/>
  <c r="AP155" i="12" s="1"/>
  <c r="Z33" i="6"/>
  <c r="Z38" i="6"/>
  <c r="AP189" i="12" s="1"/>
  <c r="Z54" i="6"/>
  <c r="Z55" i="6"/>
  <c r="Z57" i="6"/>
  <c r="Z58" i="6"/>
  <c r="Z40" i="10"/>
  <c r="Z61" i="10"/>
  <c r="Z63" i="10" s="1"/>
  <c r="AP219" i="12" s="1"/>
  <c r="Z76" i="9"/>
  <c r="Z68" i="9"/>
  <c r="Z81" i="9"/>
  <c r="AA42" i="6" l="1"/>
  <c r="AD41" i="6"/>
  <c r="Z78" i="9"/>
  <c r="X97" i="9"/>
  <c r="Y7" i="6"/>
  <c r="Y31" i="6"/>
  <c r="Y32" i="6"/>
  <c r="AO155" i="12" s="1"/>
  <c r="Y33" i="6"/>
  <c r="Y54" i="6"/>
  <c r="Y55" i="6"/>
  <c r="Y61" i="10"/>
  <c r="Y55" i="10"/>
  <c r="Z55" i="10" s="1"/>
  <c r="Z76" i="10" s="1"/>
  <c r="AP239" i="12" s="1"/>
  <c r="Y54" i="10"/>
  <c r="Y50" i="10"/>
  <c r="Y43" i="10"/>
  <c r="Y42" i="10"/>
  <c r="Y40" i="10"/>
  <c r="Z77" i="9"/>
  <c r="AB64" i="10"/>
  <c r="Y61" i="6"/>
  <c r="AC62" i="6" s="1"/>
  <c r="Y113" i="9"/>
  <c r="Y58" i="6"/>
  <c r="Y68" i="9"/>
  <c r="Y82" i="9"/>
  <c r="AC120" i="9" l="1"/>
  <c r="AB98" i="9"/>
  <c r="AC44" i="6"/>
  <c r="Z50" i="10"/>
  <c r="Y76" i="9"/>
  <c r="Z43" i="10"/>
  <c r="Y111" i="9"/>
  <c r="AA112" i="9"/>
  <c r="Y87" i="9"/>
  <c r="AA64" i="10"/>
  <c r="AA113" i="9"/>
  <c r="AA110" i="9"/>
  <c r="AA114" i="9"/>
  <c r="Y72" i="9"/>
  <c r="AO35" i="12" s="1"/>
  <c r="Y78" i="9"/>
  <c r="Y75" i="10"/>
  <c r="Z54" i="10"/>
  <c r="Y51" i="6"/>
  <c r="AC52" i="6" s="1"/>
  <c r="Z7" i="6"/>
  <c r="Y67" i="10"/>
  <c r="Z67" i="10"/>
  <c r="Y81" i="9"/>
  <c r="Z82" i="9"/>
  <c r="Y44" i="10"/>
  <c r="Z42" i="10"/>
  <c r="AA42" i="10" s="1"/>
  <c r="Y40" i="6"/>
  <c r="AO167" i="12" s="1"/>
  <c r="Z87" i="9"/>
  <c r="AP128" i="12" s="1"/>
  <c r="Y57" i="6"/>
  <c r="Z72" i="9"/>
  <c r="AP35" i="12" s="1"/>
  <c r="Y50" i="6"/>
  <c r="Y77" i="9"/>
  <c r="Y45" i="6"/>
  <c r="Y63" i="10"/>
  <c r="AO219" i="12" s="1"/>
  <c r="Y97" i="9"/>
  <c r="Y76" i="10"/>
  <c r="AO239" i="12" s="1"/>
  <c r="Y38" i="6"/>
  <c r="AO189" i="12" s="1"/>
  <c r="Y47" i="6"/>
  <c r="Y77" i="10"/>
  <c r="Y79" i="9"/>
  <c r="Y112" i="9"/>
  <c r="Y114" i="9"/>
  <c r="Y110" i="9"/>
  <c r="AR183" i="12" l="1"/>
  <c r="AO128" i="12"/>
  <c r="AO72" i="12"/>
  <c r="AE120" i="9"/>
  <c r="AU62" i="12" s="1"/>
  <c r="AQ55" i="12"/>
  <c r="AQ72" i="12"/>
  <c r="AC117" i="9"/>
  <c r="AO52" i="12"/>
  <c r="AP56" i="12"/>
  <c r="AC121" i="9"/>
  <c r="AO56" i="12"/>
  <c r="AP54" i="12"/>
  <c r="AP78" i="12"/>
  <c r="AP52" i="12"/>
  <c r="AC119" i="9"/>
  <c r="AO78" i="12"/>
  <c r="AO54" i="12"/>
  <c r="AE119" i="9"/>
  <c r="AQ54" i="12"/>
  <c r="AQ78" i="12"/>
  <c r="AC118" i="9"/>
  <c r="AC48" i="6"/>
  <c r="AP55" i="12"/>
  <c r="AP72" i="12"/>
  <c r="AE121" i="9"/>
  <c r="AQ56" i="12"/>
  <c r="AE117" i="9"/>
  <c r="AQ52" i="12"/>
  <c r="AC98" i="9"/>
  <c r="AA45" i="6"/>
  <c r="AD44" i="6"/>
  <c r="AT183" i="12" s="1"/>
  <c r="Z42" i="6"/>
  <c r="AC41" i="6"/>
  <c r="AA67" i="10"/>
  <c r="AA77" i="10"/>
  <c r="AA43" i="10"/>
  <c r="AB68" i="10"/>
  <c r="AA50" i="10"/>
  <c r="AA68" i="10"/>
  <c r="Z61" i="6"/>
  <c r="AD62" i="6" s="1"/>
  <c r="Z97" i="9"/>
  <c r="AO246" i="12" s="1"/>
  <c r="Z77" i="10"/>
  <c r="Z75" i="10"/>
  <c r="Z44" i="10"/>
  <c r="Z45" i="6"/>
  <c r="Z50" i="6"/>
  <c r="Z51" i="6"/>
  <c r="AD52" i="6" s="1"/>
  <c r="Z47" i="6"/>
  <c r="AO202" i="12" s="1"/>
  <c r="X33" i="6"/>
  <c r="X37" i="6"/>
  <c r="X44" i="6"/>
  <c r="X50" i="6"/>
  <c r="X51" i="6"/>
  <c r="AB52" i="6" s="1"/>
  <c r="X54" i="6"/>
  <c r="X55" i="6"/>
  <c r="X57" i="6"/>
  <c r="X58" i="6"/>
  <c r="X61" i="10"/>
  <c r="X63" i="10" s="1"/>
  <c r="AN219" i="12" s="1"/>
  <c r="X67" i="10"/>
  <c r="X75" i="10"/>
  <c r="X76" i="10"/>
  <c r="AN239" i="12" s="1"/>
  <c r="X77" i="10"/>
  <c r="X40" i="10"/>
  <c r="X102" i="9"/>
  <c r="X103" i="9"/>
  <c r="X104" i="9"/>
  <c r="X105" i="9"/>
  <c r="X106" i="9"/>
  <c r="X110" i="9"/>
  <c r="X111" i="9"/>
  <c r="X112" i="9"/>
  <c r="X113" i="9"/>
  <c r="X114" i="9"/>
  <c r="X68" i="9"/>
  <c r="X71" i="9"/>
  <c r="X76" i="9"/>
  <c r="X78" i="9"/>
  <c r="X79" i="9"/>
  <c r="X81" i="9"/>
  <c r="X89" i="9"/>
  <c r="X95" i="9"/>
  <c r="AN246" i="12" l="1"/>
  <c r="AS62" i="12"/>
  <c r="AS183" i="12"/>
  <c r="AB117" i="9"/>
  <c r="AN52" i="12"/>
  <c r="AB120" i="9"/>
  <c r="AR62" i="12" s="1"/>
  <c r="AN55" i="12"/>
  <c r="AN72" i="12"/>
  <c r="AB121" i="9"/>
  <c r="AN56" i="12"/>
  <c r="AB119" i="9"/>
  <c r="AN54" i="12"/>
  <c r="AN78" i="12"/>
  <c r="AD48" i="6"/>
  <c r="AP202" i="12"/>
  <c r="AB118" i="9"/>
  <c r="AN53" i="12"/>
  <c r="AD98" i="9"/>
  <c r="AP246" i="12"/>
  <c r="AC42" i="10"/>
  <c r="AG72" i="10" s="1"/>
  <c r="AC50" i="10"/>
  <c r="AB73" i="10"/>
  <c r="AC43" i="10"/>
  <c r="AG73" i="10" s="1"/>
  <c r="Z91" i="9"/>
  <c r="AA44" i="10"/>
  <c r="AB72" i="10"/>
  <c r="AB44" i="10"/>
  <c r="AA61" i="6"/>
  <c r="AE62" i="6" s="1"/>
  <c r="AA111" i="9"/>
  <c r="AP53" i="12" s="1"/>
  <c r="X91" i="9"/>
  <c r="D97" i="9"/>
  <c r="H97" i="9"/>
  <c r="L97" i="9"/>
  <c r="AO53" i="12" l="1"/>
  <c r="AE118" i="9"/>
  <c r="AQ53" i="12"/>
  <c r="AC72" i="10"/>
  <c r="AD43" i="10"/>
  <c r="AD42" i="10"/>
  <c r="AD50" i="10"/>
  <c r="AE50" i="10" s="1"/>
  <c r="AC44" i="10"/>
  <c r="AC73" i="10"/>
  <c r="AA91" i="9"/>
  <c r="Y91" i="9"/>
  <c r="W61" i="10"/>
  <c r="W40" i="10"/>
  <c r="AA33" i="6"/>
  <c r="AD73" i="10" l="1"/>
  <c r="AH73" i="10"/>
  <c r="AD72" i="10"/>
  <c r="AH72" i="10"/>
  <c r="AE43" i="10"/>
  <c r="AE42" i="10"/>
  <c r="AD44" i="10"/>
  <c r="W55" i="6"/>
  <c r="X31" i="6"/>
  <c r="X32" i="6"/>
  <c r="AN155" i="12" s="1"/>
  <c r="W32" i="6"/>
  <c r="AM155" i="12" s="1"/>
  <c r="W54" i="6"/>
  <c r="W31" i="6"/>
  <c r="W33" i="6"/>
  <c r="AA81" i="9"/>
  <c r="AA76" i="9"/>
  <c r="W68" i="9"/>
  <c r="AE44" i="10" l="1"/>
  <c r="AE72" i="10"/>
  <c r="AI72" i="10"/>
  <c r="AE73" i="10"/>
  <c r="AI73" i="10"/>
  <c r="X77" i="9"/>
  <c r="W81" i="9"/>
  <c r="X82" i="9"/>
  <c r="X47" i="6"/>
  <c r="X40" i="6"/>
  <c r="AN167" i="12" s="1"/>
  <c r="W82" i="9"/>
  <c r="W76" i="9"/>
  <c r="W77" i="9"/>
  <c r="E82" i="9"/>
  <c r="F82" i="9"/>
  <c r="G82" i="9"/>
  <c r="I81" i="9"/>
  <c r="J81" i="9"/>
  <c r="K81" i="9"/>
  <c r="L81" i="9"/>
  <c r="M81" i="9"/>
  <c r="N81" i="9"/>
  <c r="O81" i="9"/>
  <c r="P81" i="9"/>
  <c r="Q81" i="9"/>
  <c r="R81" i="9"/>
  <c r="S81" i="9"/>
  <c r="T81" i="9"/>
  <c r="U81" i="9"/>
  <c r="V81" i="9"/>
  <c r="I82" i="9"/>
  <c r="J82" i="9"/>
  <c r="K82" i="9"/>
  <c r="L82" i="9"/>
  <c r="M82" i="9"/>
  <c r="N82" i="9"/>
  <c r="O82" i="9"/>
  <c r="P82" i="9"/>
  <c r="Q82" i="9"/>
  <c r="R82" i="9"/>
  <c r="S82" i="9"/>
  <c r="T82" i="9"/>
  <c r="U82" i="9"/>
  <c r="V82" i="9"/>
  <c r="H82" i="9"/>
  <c r="H81" i="9"/>
  <c r="E63" i="9"/>
  <c r="E64" i="9" s="1"/>
  <c r="F63" i="9"/>
  <c r="F64" i="9" s="1"/>
  <c r="G63" i="9"/>
  <c r="G64" i="9" s="1"/>
  <c r="H63" i="9"/>
  <c r="H64" i="9" s="1"/>
  <c r="I63" i="9"/>
  <c r="I64" i="9" s="1"/>
  <c r="J63" i="9"/>
  <c r="J64" i="9" s="1"/>
  <c r="K63" i="9"/>
  <c r="K64" i="9" s="1"/>
  <c r="D63" i="9"/>
  <c r="D64" i="9" s="1"/>
  <c r="AB48" i="6" l="1"/>
  <c r="AN202" i="12"/>
  <c r="Y42" i="6"/>
  <c r="AB41" i="6"/>
  <c r="V77" i="9"/>
  <c r="V76" i="9"/>
  <c r="H76" i="9"/>
  <c r="I76" i="9"/>
  <c r="J76" i="9"/>
  <c r="K76" i="9"/>
  <c r="L76" i="9"/>
  <c r="M76" i="9"/>
  <c r="N76" i="9"/>
  <c r="O76" i="9"/>
  <c r="P76" i="9"/>
  <c r="Q76" i="9"/>
  <c r="R76" i="9"/>
  <c r="S76" i="9"/>
  <c r="T76" i="9"/>
  <c r="U76" i="9"/>
  <c r="E77" i="9"/>
  <c r="F77" i="9"/>
  <c r="G77" i="9"/>
  <c r="H77" i="9"/>
  <c r="I77" i="9"/>
  <c r="J77" i="9"/>
  <c r="K77" i="9"/>
  <c r="L77" i="9"/>
  <c r="M77" i="9"/>
  <c r="N77" i="9"/>
  <c r="O77" i="9"/>
  <c r="P77" i="9"/>
  <c r="Q77" i="9"/>
  <c r="R77" i="9"/>
  <c r="S77" i="9"/>
  <c r="T77" i="9"/>
  <c r="U77" i="9"/>
  <c r="D78" i="9"/>
  <c r="E78" i="9"/>
  <c r="F78" i="9"/>
  <c r="G78" i="9"/>
  <c r="H78" i="9"/>
  <c r="I78" i="9"/>
  <c r="J78" i="9"/>
  <c r="K78" i="9"/>
  <c r="L78" i="9"/>
  <c r="M78" i="9"/>
  <c r="N78" i="9"/>
  <c r="O78" i="9"/>
  <c r="P78" i="9"/>
  <c r="T78" i="9"/>
  <c r="V68" i="9" l="1"/>
  <c r="V40" i="10"/>
  <c r="V61" i="10"/>
  <c r="V54" i="6" l="1"/>
  <c r="V55" i="6"/>
  <c r="V31" i="6"/>
  <c r="V32" i="6"/>
  <c r="AL155" i="12" s="1"/>
  <c r="V33" i="6"/>
  <c r="U61" i="10" l="1"/>
  <c r="U55" i="10"/>
  <c r="U54" i="10"/>
  <c r="V54" i="10" s="1"/>
  <c r="W54" i="10" s="1"/>
  <c r="U50" i="10"/>
  <c r="V50" i="10" s="1"/>
  <c r="W50" i="10" s="1"/>
  <c r="U46" i="10"/>
  <c r="V46" i="10" s="1"/>
  <c r="W46" i="10" s="1"/>
  <c r="U43" i="10"/>
  <c r="Y47" i="10" l="1"/>
  <c r="Y51" i="10" s="1"/>
  <c r="V43" i="10"/>
  <c r="Y73" i="10"/>
  <c r="V55" i="10"/>
  <c r="U54" i="6"/>
  <c r="U55" i="6"/>
  <c r="U31" i="6"/>
  <c r="U32" i="6"/>
  <c r="AK155" i="12" s="1"/>
  <c r="U33" i="6"/>
  <c r="U20" i="6"/>
  <c r="U7" i="6"/>
  <c r="U68" i="9"/>
  <c r="Y95" i="9"/>
  <c r="Y89" i="9"/>
  <c r="Y105" i="9"/>
  <c r="Y104" i="9"/>
  <c r="Y102" i="9"/>
  <c r="Y71" i="9"/>
  <c r="Y35" i="6" l="1"/>
  <c r="Y36" i="6"/>
  <c r="AN90" i="12"/>
  <c r="AN92" i="12"/>
  <c r="Y44" i="6"/>
  <c r="Y37" i="6"/>
  <c r="Z47" i="10"/>
  <c r="AA46" i="10"/>
  <c r="AA47" i="10" s="1"/>
  <c r="AA51" i="10" s="1"/>
  <c r="Y103" i="9"/>
  <c r="U61" i="6"/>
  <c r="Y62" i="6" s="1"/>
  <c r="W43" i="10"/>
  <c r="Z73" i="10"/>
  <c r="W55" i="10"/>
  <c r="V20" i="6"/>
  <c r="V7" i="6"/>
  <c r="U47" i="6"/>
  <c r="Z104" i="9"/>
  <c r="Z105" i="9"/>
  <c r="U78" i="9"/>
  <c r="Z71" i="9"/>
  <c r="Z102" i="9"/>
  <c r="Z89" i="9"/>
  <c r="Z95" i="9"/>
  <c r="U89" i="9"/>
  <c r="U95" i="9"/>
  <c r="U37" i="6"/>
  <c r="U104" i="9"/>
  <c r="U50" i="6"/>
  <c r="Y74" i="9"/>
  <c r="U38" i="6"/>
  <c r="U77" i="10"/>
  <c r="U45" i="6"/>
  <c r="U40" i="6"/>
  <c r="U72" i="9"/>
  <c r="U105" i="9"/>
  <c r="Y84" i="9"/>
  <c r="U103" i="9"/>
  <c r="U58" i="6"/>
  <c r="U51" i="6"/>
  <c r="Y52" i="6" s="1"/>
  <c r="U44" i="6"/>
  <c r="U75" i="10"/>
  <c r="U68" i="10"/>
  <c r="U67" i="10"/>
  <c r="U106" i="9"/>
  <c r="U102" i="9"/>
  <c r="U57" i="6"/>
  <c r="U76" i="10"/>
  <c r="T17" i="10"/>
  <c r="G68" i="10"/>
  <c r="H68" i="10"/>
  <c r="I68" i="10"/>
  <c r="J68" i="10"/>
  <c r="K68" i="10"/>
  <c r="L68" i="10"/>
  <c r="M68" i="10"/>
  <c r="N68" i="10"/>
  <c r="O68" i="10"/>
  <c r="P68" i="10"/>
  <c r="Q68" i="10"/>
  <c r="R68" i="10"/>
  <c r="S68" i="10"/>
  <c r="T68" i="10"/>
  <c r="T71" i="9"/>
  <c r="T31" i="6"/>
  <c r="AA36" i="6" l="1"/>
  <c r="Z36" i="6"/>
  <c r="AA35" i="6"/>
  <c r="Z35" i="6"/>
  <c r="AO93" i="12"/>
  <c r="AN93" i="12"/>
  <c r="AN22" i="12"/>
  <c r="AN91" i="12"/>
  <c r="AN173" i="12"/>
  <c r="AN183" i="12"/>
  <c r="AO90" i="12"/>
  <c r="Y48" i="6"/>
  <c r="Y41" i="6"/>
  <c r="Z44" i="6"/>
  <c r="V37" i="6"/>
  <c r="Z51" i="10"/>
  <c r="AB47" i="10"/>
  <c r="AB51" i="10" s="1"/>
  <c r="AC46" i="10"/>
  <c r="X73" i="10"/>
  <c r="AA73" i="10"/>
  <c r="Z103" i="9"/>
  <c r="V61" i="6"/>
  <c r="Z62" i="6" s="1"/>
  <c r="V38" i="6"/>
  <c r="Z37" i="6"/>
  <c r="AA95" i="9"/>
  <c r="AA89" i="9"/>
  <c r="AA104" i="9"/>
  <c r="AQ92" i="12" s="1"/>
  <c r="AA102" i="9"/>
  <c r="AQ90" i="12" s="1"/>
  <c r="AA105" i="9"/>
  <c r="AQ93" i="12" s="1"/>
  <c r="W20" i="6"/>
  <c r="W7" i="6"/>
  <c r="W40" i="6"/>
  <c r="AM167" i="12" s="1"/>
  <c r="W68" i="10"/>
  <c r="V51" i="6"/>
  <c r="Z52" i="6" s="1"/>
  <c r="V44" i="6"/>
  <c r="V50" i="6"/>
  <c r="V45" i="6"/>
  <c r="V47" i="6"/>
  <c r="V95" i="9"/>
  <c r="V106" i="9"/>
  <c r="V78" i="9"/>
  <c r="V76" i="10"/>
  <c r="V58" i="6"/>
  <c r="V40" i="6"/>
  <c r="V75" i="10"/>
  <c r="V72" i="9"/>
  <c r="V57" i="6"/>
  <c r="U79" i="9"/>
  <c r="V67" i="10"/>
  <c r="V77" i="10"/>
  <c r="V89" i="9"/>
  <c r="V103" i="9"/>
  <c r="Z84" i="9"/>
  <c r="V102" i="9"/>
  <c r="V105" i="9"/>
  <c r="V104" i="9"/>
  <c r="V68" i="10"/>
  <c r="Y86" i="9"/>
  <c r="U112" i="9"/>
  <c r="U111" i="9"/>
  <c r="U113" i="9"/>
  <c r="U114" i="9"/>
  <c r="U110" i="9"/>
  <c r="T54" i="6"/>
  <c r="T50" i="6"/>
  <c r="T47" i="6"/>
  <c r="T45" i="6"/>
  <c r="T44" i="6"/>
  <c r="T38" i="6"/>
  <c r="T37" i="6"/>
  <c r="T33" i="6"/>
  <c r="E45" i="6"/>
  <c r="F45" i="6"/>
  <c r="G45" i="6"/>
  <c r="H45" i="6"/>
  <c r="I45" i="6"/>
  <c r="J45" i="6"/>
  <c r="K45" i="6"/>
  <c r="L45" i="6"/>
  <c r="M45" i="6"/>
  <c r="N45" i="6"/>
  <c r="O45" i="6"/>
  <c r="P45" i="6"/>
  <c r="Q45" i="6"/>
  <c r="R45" i="6"/>
  <c r="S45" i="6"/>
  <c r="T58" i="6"/>
  <c r="T57" i="6"/>
  <c r="T55" i="6"/>
  <c r="T51" i="6"/>
  <c r="X52" i="6" s="1"/>
  <c r="T32" i="6"/>
  <c r="AJ155" i="12" s="1"/>
  <c r="T40" i="6"/>
  <c r="AJ167" i="12" s="1"/>
  <c r="T77" i="10"/>
  <c r="T76" i="10"/>
  <c r="T75" i="10"/>
  <c r="T73" i="10"/>
  <c r="T67" i="10"/>
  <c r="T61" i="10"/>
  <c r="T42" i="10"/>
  <c r="H71" i="9"/>
  <c r="K71" i="9"/>
  <c r="L71" i="9"/>
  <c r="O71" i="9"/>
  <c r="P71" i="9"/>
  <c r="E87" i="9"/>
  <c r="F87" i="9"/>
  <c r="G87" i="9"/>
  <c r="I71" i="9"/>
  <c r="J71" i="9"/>
  <c r="M71" i="9"/>
  <c r="N71" i="9"/>
  <c r="J72" i="9"/>
  <c r="N72" i="9"/>
  <c r="H86" i="9"/>
  <c r="I86" i="9"/>
  <c r="J86" i="9"/>
  <c r="K86" i="9"/>
  <c r="L86" i="9"/>
  <c r="M86" i="9"/>
  <c r="N86" i="9"/>
  <c r="O86" i="9"/>
  <c r="H87" i="9"/>
  <c r="I87" i="9"/>
  <c r="J87" i="9"/>
  <c r="K87" i="9"/>
  <c r="L87" i="9"/>
  <c r="M87" i="9"/>
  <c r="N87" i="9"/>
  <c r="O87" i="9"/>
  <c r="H89" i="9"/>
  <c r="I89" i="9"/>
  <c r="J89" i="9"/>
  <c r="K89" i="9"/>
  <c r="L89" i="9"/>
  <c r="M89" i="9"/>
  <c r="N89" i="9"/>
  <c r="O89" i="9"/>
  <c r="P89" i="9"/>
  <c r="Q89" i="9"/>
  <c r="R89" i="9"/>
  <c r="S89" i="9"/>
  <c r="H95" i="9"/>
  <c r="I95" i="9"/>
  <c r="J95" i="9"/>
  <c r="K95" i="9"/>
  <c r="L95" i="9"/>
  <c r="M95" i="9"/>
  <c r="N95" i="9"/>
  <c r="O95" i="9"/>
  <c r="P95" i="9"/>
  <c r="Q95" i="9"/>
  <c r="R95" i="9"/>
  <c r="S95" i="9"/>
  <c r="T95" i="9"/>
  <c r="T89" i="9"/>
  <c r="AJ173" i="12" l="1"/>
  <c r="AO92" i="12"/>
  <c r="AK167" i="12"/>
  <c r="AO91" i="12"/>
  <c r="AK93" i="12"/>
  <c r="AP92" i="12"/>
  <c r="AP93" i="12"/>
  <c r="AK92" i="12"/>
  <c r="AP90" i="12"/>
  <c r="AK183" i="12"/>
  <c r="Y120" i="9"/>
  <c r="X48" i="6"/>
  <c r="AJ202" i="12"/>
  <c r="Y119" i="9"/>
  <c r="Y117" i="9"/>
  <c r="Y121" i="9"/>
  <c r="Z48" i="6"/>
  <c r="Y118" i="9"/>
  <c r="Z41" i="6"/>
  <c r="AL167" i="12"/>
  <c r="AC47" i="10"/>
  <c r="AC51" i="10" s="1"/>
  <c r="V42" i="6"/>
  <c r="AA37" i="6"/>
  <c r="AQ173" i="12" s="1"/>
  <c r="AD46" i="10"/>
  <c r="AD47" i="10" s="1"/>
  <c r="AD51" i="10" s="1"/>
  <c r="W77" i="10"/>
  <c r="W50" i="6"/>
  <c r="AA44" i="6"/>
  <c r="AQ183" i="12" s="1"/>
  <c r="W47" i="6"/>
  <c r="W44" i="6"/>
  <c r="AM183" i="12" s="1"/>
  <c r="W57" i="6"/>
  <c r="AA71" i="9"/>
  <c r="AO22" i="12" s="1"/>
  <c r="X42" i="6"/>
  <c r="AA41" i="6"/>
  <c r="W75" i="10"/>
  <c r="W61" i="6"/>
  <c r="AA62" i="6" s="1"/>
  <c r="AA103" i="9"/>
  <c r="AQ91" i="12" s="1"/>
  <c r="Y68" i="10"/>
  <c r="Z68" i="10"/>
  <c r="W45" i="6"/>
  <c r="W78" i="9"/>
  <c r="W51" i="6"/>
  <c r="AA52" i="6" s="1"/>
  <c r="W105" i="9"/>
  <c r="AM93" i="12" s="1"/>
  <c r="W106" i="9"/>
  <c r="X62" i="6"/>
  <c r="X68" i="10"/>
  <c r="W89" i="9"/>
  <c r="W102" i="9"/>
  <c r="AM90" i="12" s="1"/>
  <c r="X72" i="9"/>
  <c r="AN35" i="12" s="1"/>
  <c r="W67" i="10"/>
  <c r="W72" i="9"/>
  <c r="AA84" i="9"/>
  <c r="W104" i="9"/>
  <c r="AM92" i="12" s="1"/>
  <c r="W76" i="10"/>
  <c r="AM239" i="12" s="1"/>
  <c r="W58" i="6"/>
  <c r="W95" i="9"/>
  <c r="X45" i="6"/>
  <c r="X38" i="6"/>
  <c r="AN189" i="12" s="1"/>
  <c r="W38" i="6"/>
  <c r="AM189" i="12" s="1"/>
  <c r="W37" i="6"/>
  <c r="AM173" i="12" s="1"/>
  <c r="U42" i="6"/>
  <c r="X41" i="6"/>
  <c r="U97" i="9"/>
  <c r="W42" i="6"/>
  <c r="W103" i="9"/>
  <c r="AM91" i="12" s="1"/>
  <c r="U71" i="9"/>
  <c r="Q78" i="9"/>
  <c r="U63" i="10"/>
  <c r="U91" i="9"/>
  <c r="Q71" i="9"/>
  <c r="L98" i="9"/>
  <c r="T44" i="10"/>
  <c r="T47" i="10" s="1"/>
  <c r="T51" i="10" s="1"/>
  <c r="U42" i="10"/>
  <c r="T72" i="10"/>
  <c r="Q72" i="9"/>
  <c r="M72" i="9"/>
  <c r="I72" i="9"/>
  <c r="P72" i="9"/>
  <c r="L72" i="9"/>
  <c r="H72" i="9"/>
  <c r="O72" i="9"/>
  <c r="K72" i="9"/>
  <c r="AJ183" i="12" l="1"/>
  <c r="AK173" i="12"/>
  <c r="AK91" i="12"/>
  <c r="AJ189" i="12"/>
  <c r="AJ239" i="12"/>
  <c r="AK189" i="12"/>
  <c r="AO183" i="12"/>
  <c r="AL202" i="12"/>
  <c r="AK202" i="12"/>
  <c r="AL189" i="12"/>
  <c r="AO173" i="12"/>
  <c r="AK90" i="12"/>
  <c r="AL35" i="12"/>
  <c r="AK35" i="12"/>
  <c r="AK239" i="12"/>
  <c r="AL92" i="12"/>
  <c r="AQ22" i="12"/>
  <c r="AP22" i="12"/>
  <c r="AL91" i="12"/>
  <c r="AL90" i="12"/>
  <c r="AP183" i="12"/>
  <c r="AP173" i="12"/>
  <c r="AL93" i="12"/>
  <c r="AM35" i="12"/>
  <c r="AP91" i="12"/>
  <c r="AL173" i="12"/>
  <c r="AL183" i="12"/>
  <c r="AL239" i="12"/>
  <c r="AA48" i="6"/>
  <c r="AM202" i="12"/>
  <c r="Y98" i="9"/>
  <c r="AE46" i="10"/>
  <c r="AE47" i="10" s="1"/>
  <c r="AE51" i="10" s="1"/>
  <c r="V42" i="10"/>
  <c r="Y72" i="10"/>
  <c r="X72" i="10"/>
  <c r="X44" i="10"/>
  <c r="R72" i="9"/>
  <c r="R78" i="9"/>
  <c r="V71" i="9"/>
  <c r="AJ22" i="12" s="1"/>
  <c r="Y93" i="9"/>
  <c r="R71" i="9"/>
  <c r="U44" i="10"/>
  <c r="U47" i="10" s="1"/>
  <c r="U51" i="10" s="1"/>
  <c r="T102" i="9"/>
  <c r="AJ90" i="12" s="1"/>
  <c r="T103" i="9"/>
  <c r="AJ91" i="12" s="1"/>
  <c r="T104" i="9"/>
  <c r="AJ92" i="12" s="1"/>
  <c r="T105" i="9"/>
  <c r="AJ93" i="12" s="1"/>
  <c r="T106" i="9"/>
  <c r="T68" i="9"/>
  <c r="X84" i="9"/>
  <c r="AG22" i="12" l="1"/>
  <c r="X47" i="10"/>
  <c r="W42" i="10"/>
  <c r="Z72" i="10"/>
  <c r="V44" i="10"/>
  <c r="V47" i="10" s="1"/>
  <c r="V51" i="10" s="1"/>
  <c r="X74" i="9"/>
  <c r="W71" i="9"/>
  <c r="AM22" i="12" s="1"/>
  <c r="T79" i="9"/>
  <c r="S78" i="9"/>
  <c r="T112" i="9"/>
  <c r="T114" i="9"/>
  <c r="T111" i="9"/>
  <c r="T113" i="9"/>
  <c r="T110" i="9"/>
  <c r="S72" i="9"/>
  <c r="AD35" i="12" s="1"/>
  <c r="T72" i="9"/>
  <c r="AJ35" i="12" s="1"/>
  <c r="S71" i="9"/>
  <c r="H98" i="9"/>
  <c r="AB22" i="12" l="1"/>
  <c r="AC22" i="12"/>
  <c r="AD22" i="12"/>
  <c r="AB35" i="12"/>
  <c r="AF22" i="12"/>
  <c r="AC35" i="12"/>
  <c r="AI22" i="12"/>
  <c r="AE22" i="12"/>
  <c r="AI35" i="12"/>
  <c r="AE35" i="12"/>
  <c r="AF35" i="12"/>
  <c r="AG35" i="12"/>
  <c r="AH35" i="12"/>
  <c r="AK22" i="12"/>
  <c r="AL22" i="12"/>
  <c r="AH22" i="12"/>
  <c r="X118" i="9"/>
  <c r="AJ53" i="12"/>
  <c r="X121" i="9"/>
  <c r="X120" i="9"/>
  <c r="X119" i="9"/>
  <c r="AJ78" i="12"/>
  <c r="X117" i="9"/>
  <c r="AJ52" i="12"/>
  <c r="X51" i="10"/>
  <c r="W44" i="10"/>
  <c r="W47" i="10" s="1"/>
  <c r="W51" i="10" s="1"/>
  <c r="AA72" i="10"/>
  <c r="X86" i="9"/>
  <c r="T97" i="9"/>
  <c r="Z86" i="9"/>
  <c r="V79" i="9"/>
  <c r="V114" i="9"/>
  <c r="V111" i="9"/>
  <c r="V110" i="9"/>
  <c r="V113" i="9"/>
  <c r="AJ72" i="12" s="1"/>
  <c r="V112" i="9"/>
  <c r="AJ54" i="12" s="1"/>
  <c r="X93" i="9"/>
  <c r="U87" i="9"/>
  <c r="T63" i="10"/>
  <c r="U62" i="6"/>
  <c r="V62" i="6"/>
  <c r="W62" i="6"/>
  <c r="F38" i="6"/>
  <c r="G38" i="6"/>
  <c r="H38" i="6"/>
  <c r="I38" i="6"/>
  <c r="J38" i="6"/>
  <c r="K38" i="6"/>
  <c r="L38" i="6"/>
  <c r="M38" i="6"/>
  <c r="AC189" i="12" s="1"/>
  <c r="N38" i="6"/>
  <c r="O38" i="6"/>
  <c r="P38" i="6"/>
  <c r="Q38" i="6"/>
  <c r="AG189" i="12" s="1"/>
  <c r="R38" i="6"/>
  <c r="S38" i="6"/>
  <c r="AI189" i="12" s="1"/>
  <c r="E38" i="6"/>
  <c r="F55" i="6"/>
  <c r="G55" i="6"/>
  <c r="H55" i="6"/>
  <c r="I55" i="6"/>
  <c r="J55" i="6"/>
  <c r="K55" i="6"/>
  <c r="L55" i="6"/>
  <c r="M55" i="6"/>
  <c r="N55" i="6"/>
  <c r="O55" i="6"/>
  <c r="P55" i="6"/>
  <c r="Q55" i="6"/>
  <c r="R55" i="6"/>
  <c r="S55" i="6"/>
  <c r="E55" i="6"/>
  <c r="F54" i="6"/>
  <c r="G54" i="6"/>
  <c r="H54" i="6"/>
  <c r="I54" i="6"/>
  <c r="J54" i="6"/>
  <c r="K54" i="6"/>
  <c r="L54" i="6"/>
  <c r="M54" i="6"/>
  <c r="N54" i="6"/>
  <c r="O54" i="6"/>
  <c r="P54" i="6"/>
  <c r="Q54" i="6"/>
  <c r="R54" i="6"/>
  <c r="S54" i="6"/>
  <c r="E54" i="6"/>
  <c r="F58" i="6"/>
  <c r="G58" i="6"/>
  <c r="H58" i="6"/>
  <c r="I58" i="6"/>
  <c r="J58" i="6"/>
  <c r="K58" i="6"/>
  <c r="L58" i="6"/>
  <c r="M58" i="6"/>
  <c r="N58" i="6"/>
  <c r="O58" i="6"/>
  <c r="P58" i="6"/>
  <c r="Q58" i="6"/>
  <c r="R58" i="6"/>
  <c r="S58" i="6"/>
  <c r="E58" i="6"/>
  <c r="AD189" i="12" l="1"/>
  <c r="AE189" i="12"/>
  <c r="AN110" i="12"/>
  <c r="AJ55" i="12"/>
  <c r="AK56" i="12"/>
  <c r="AJ56" i="12"/>
  <c r="AB189" i="12"/>
  <c r="AH189" i="12"/>
  <c r="AF189" i="12"/>
  <c r="AK78" i="12"/>
  <c r="AK55" i="12"/>
  <c r="AK72" i="12"/>
  <c r="AL52" i="12"/>
  <c r="AL53" i="12"/>
  <c r="X98" i="9"/>
  <c r="W110" i="9"/>
  <c r="AK52" i="12" s="1"/>
  <c r="AA74" i="9"/>
  <c r="W111" i="9"/>
  <c r="AK53" i="12" s="1"/>
  <c r="W112" i="9"/>
  <c r="AL54" i="12" s="1"/>
  <c r="W113" i="9"/>
  <c r="AL72" i="12" s="1"/>
  <c r="W114" i="9"/>
  <c r="AL56" i="12" s="1"/>
  <c r="W79" i="9"/>
  <c r="V97" i="9"/>
  <c r="M62" i="6"/>
  <c r="V63" i="10"/>
  <c r="V87" i="9"/>
  <c r="T91" i="9"/>
  <c r="P62" i="6"/>
  <c r="T62" i="6"/>
  <c r="L62" i="6"/>
  <c r="J62" i="6"/>
  <c r="K62" i="6"/>
  <c r="I62" i="6"/>
  <c r="O62" i="6"/>
  <c r="R62" i="6"/>
  <c r="N62" i="6"/>
  <c r="S62" i="6"/>
  <c r="Q62" i="6"/>
  <c r="F57" i="6"/>
  <c r="G57" i="6"/>
  <c r="H57" i="6"/>
  <c r="I57" i="6"/>
  <c r="J57" i="6"/>
  <c r="K57" i="6"/>
  <c r="L57" i="6"/>
  <c r="M57" i="6"/>
  <c r="N57" i="6"/>
  <c r="O57" i="6"/>
  <c r="P57" i="6"/>
  <c r="Q57" i="6"/>
  <c r="R57" i="6"/>
  <c r="S57" i="6"/>
  <c r="E57" i="6"/>
  <c r="F51" i="6"/>
  <c r="G51" i="6"/>
  <c r="H51" i="6"/>
  <c r="I51" i="6"/>
  <c r="J51" i="6"/>
  <c r="K51" i="6"/>
  <c r="L51" i="6"/>
  <c r="M51" i="6"/>
  <c r="N51" i="6"/>
  <c r="O51" i="6"/>
  <c r="P51" i="6"/>
  <c r="Q51" i="6"/>
  <c r="R51" i="6"/>
  <c r="S51" i="6"/>
  <c r="E51" i="6"/>
  <c r="F50" i="6"/>
  <c r="G50" i="6"/>
  <c r="H50" i="6"/>
  <c r="I50" i="6"/>
  <c r="J50" i="6"/>
  <c r="K50" i="6"/>
  <c r="L50" i="6"/>
  <c r="M50" i="6"/>
  <c r="N50" i="6"/>
  <c r="O50" i="6"/>
  <c r="P50" i="6"/>
  <c r="Q50" i="6"/>
  <c r="R50" i="6"/>
  <c r="S50" i="6"/>
  <c r="E50" i="6"/>
  <c r="E67" i="10"/>
  <c r="F67" i="10"/>
  <c r="G67" i="10"/>
  <c r="H67" i="10"/>
  <c r="I67" i="10"/>
  <c r="J67" i="10"/>
  <c r="K67" i="10"/>
  <c r="L67" i="10"/>
  <c r="M67" i="10"/>
  <c r="N67" i="10"/>
  <c r="O67" i="10"/>
  <c r="P67" i="10"/>
  <c r="Q67" i="10"/>
  <c r="R67" i="10"/>
  <c r="S67" i="10"/>
  <c r="D67" i="10"/>
  <c r="H77" i="10"/>
  <c r="L77" i="10"/>
  <c r="P77" i="10"/>
  <c r="D77" i="10"/>
  <c r="H75" i="10"/>
  <c r="L75" i="10"/>
  <c r="P75" i="10"/>
  <c r="H76" i="10"/>
  <c r="L76" i="10"/>
  <c r="P76" i="10"/>
  <c r="D76" i="10"/>
  <c r="D75" i="10"/>
  <c r="L73" i="10"/>
  <c r="P73" i="10"/>
  <c r="H73" i="10"/>
  <c r="L72" i="10"/>
  <c r="P72" i="10"/>
  <c r="H72" i="10"/>
  <c r="E61" i="10"/>
  <c r="E63" i="10" s="1"/>
  <c r="F61" i="10"/>
  <c r="F63" i="10" s="1"/>
  <c r="G61" i="10"/>
  <c r="G63" i="10" s="1"/>
  <c r="H61" i="10"/>
  <c r="H64" i="10" s="1"/>
  <c r="I61" i="10"/>
  <c r="I64" i="10" s="1"/>
  <c r="J61" i="10"/>
  <c r="J64" i="10" s="1"/>
  <c r="K61" i="10"/>
  <c r="K64" i="10" s="1"/>
  <c r="L61" i="10"/>
  <c r="L64" i="10" s="1"/>
  <c r="M61" i="10"/>
  <c r="M64" i="10" s="1"/>
  <c r="N61" i="10"/>
  <c r="N64" i="10" s="1"/>
  <c r="O61" i="10"/>
  <c r="O64" i="10" s="1"/>
  <c r="P61" i="10"/>
  <c r="Q61" i="10"/>
  <c r="R61" i="10"/>
  <c r="S61" i="10"/>
  <c r="D61" i="10"/>
  <c r="D63" i="10" s="1"/>
  <c r="E46" i="10"/>
  <c r="F46" i="10" s="1"/>
  <c r="G46" i="10" s="1"/>
  <c r="E43" i="10"/>
  <c r="H33" i="10"/>
  <c r="H34" i="10" s="1"/>
  <c r="I33" i="10"/>
  <c r="I34" i="10" s="1"/>
  <c r="E55" i="10"/>
  <c r="F55" i="10" s="1"/>
  <c r="G55" i="10" s="1"/>
  <c r="G76" i="10" s="1"/>
  <c r="E54" i="10"/>
  <c r="E97" i="9" s="1"/>
  <c r="E50" i="10"/>
  <c r="F50" i="10" s="1"/>
  <c r="G50" i="10" s="1"/>
  <c r="E42" i="10"/>
  <c r="I55" i="10"/>
  <c r="I76" i="10" s="1"/>
  <c r="I54" i="10"/>
  <c r="I97" i="9" s="1"/>
  <c r="I50" i="10"/>
  <c r="K50" i="10" s="1"/>
  <c r="I46" i="10"/>
  <c r="J46" i="10" s="1"/>
  <c r="K46" i="10" s="1"/>
  <c r="I43" i="10"/>
  <c r="J43" i="10" s="1"/>
  <c r="K43" i="10" s="1"/>
  <c r="I42" i="10"/>
  <c r="J42" i="10" s="1"/>
  <c r="E16" i="6"/>
  <c r="D17" i="6"/>
  <c r="F17" i="6"/>
  <c r="G17" i="6"/>
  <c r="H17" i="6"/>
  <c r="I17" i="6"/>
  <c r="J17" i="6"/>
  <c r="K17" i="6"/>
  <c r="M55" i="10"/>
  <c r="M76" i="10" s="1"/>
  <c r="M54" i="10"/>
  <c r="M50" i="10"/>
  <c r="N50" i="10" s="1"/>
  <c r="M46" i="10"/>
  <c r="M43" i="10"/>
  <c r="N43" i="10" s="1"/>
  <c r="O43" i="10" s="1"/>
  <c r="M42" i="10"/>
  <c r="N42" i="10" s="1"/>
  <c r="Q55" i="10"/>
  <c r="R55" i="10" s="1"/>
  <c r="S55" i="10" s="1"/>
  <c r="S76" i="10" s="1"/>
  <c r="AI239" i="12" s="1"/>
  <c r="Q54" i="10"/>
  <c r="R54" i="10" s="1"/>
  <c r="Q50" i="10"/>
  <c r="R50" i="10" s="1"/>
  <c r="S50" i="10" s="1"/>
  <c r="Q46" i="10"/>
  <c r="R46" i="10" s="1"/>
  <c r="S46" i="10" s="1"/>
  <c r="Q43" i="10"/>
  <c r="Q42" i="10"/>
  <c r="D44" i="10"/>
  <c r="D47" i="10" s="1"/>
  <c r="H44" i="10"/>
  <c r="H47" i="10" s="1"/>
  <c r="L44" i="10"/>
  <c r="L47" i="10" s="1"/>
  <c r="P44" i="10"/>
  <c r="P47" i="10" s="1"/>
  <c r="D40" i="10"/>
  <c r="E40" i="10"/>
  <c r="F40" i="10"/>
  <c r="G40" i="10"/>
  <c r="H40" i="10"/>
  <c r="I40" i="10"/>
  <c r="J40" i="10"/>
  <c r="K40" i="10"/>
  <c r="L40" i="10"/>
  <c r="M40" i="10"/>
  <c r="N40" i="10"/>
  <c r="O40" i="10"/>
  <c r="P40" i="10"/>
  <c r="Q40" i="10"/>
  <c r="R40" i="10"/>
  <c r="S40" i="10"/>
  <c r="D34" i="10"/>
  <c r="E34" i="10"/>
  <c r="F34" i="10"/>
  <c r="G34" i="10"/>
  <c r="J34" i="10"/>
  <c r="K34" i="10"/>
  <c r="L34" i="10"/>
  <c r="M34" i="10"/>
  <c r="N34" i="10"/>
  <c r="O34" i="10"/>
  <c r="P34" i="10"/>
  <c r="Q34" i="10"/>
  <c r="R34" i="10"/>
  <c r="D28" i="10"/>
  <c r="E28" i="10"/>
  <c r="F28" i="10"/>
  <c r="G28" i="10"/>
  <c r="H28" i="10"/>
  <c r="I28" i="10"/>
  <c r="J28" i="10"/>
  <c r="K28" i="10"/>
  <c r="L28" i="10"/>
  <c r="M28" i="10"/>
  <c r="N28" i="10"/>
  <c r="O28" i="10"/>
  <c r="P28" i="10"/>
  <c r="Q28" i="10"/>
  <c r="R28" i="10"/>
  <c r="D22" i="10"/>
  <c r="E22" i="10"/>
  <c r="F22" i="10"/>
  <c r="G22" i="10"/>
  <c r="H22" i="10"/>
  <c r="I22" i="10"/>
  <c r="J22" i="10"/>
  <c r="K22" i="10"/>
  <c r="L22" i="10"/>
  <c r="M22" i="10"/>
  <c r="N22" i="10"/>
  <c r="O22" i="10"/>
  <c r="P22" i="10"/>
  <c r="Q22" i="10"/>
  <c r="R22" i="10"/>
  <c r="D15" i="10"/>
  <c r="E15" i="10"/>
  <c r="F15" i="10"/>
  <c r="G15" i="10"/>
  <c r="H15" i="10"/>
  <c r="I15" i="10"/>
  <c r="J15" i="10"/>
  <c r="K15" i="10"/>
  <c r="L15" i="10"/>
  <c r="M15" i="10"/>
  <c r="N15" i="10"/>
  <c r="O15" i="10"/>
  <c r="P15" i="10"/>
  <c r="Q15" i="10"/>
  <c r="R15" i="10"/>
  <c r="D8" i="10"/>
  <c r="E8" i="10"/>
  <c r="F8" i="10"/>
  <c r="G8" i="10"/>
  <c r="H8" i="10"/>
  <c r="I8" i="10"/>
  <c r="J8" i="10"/>
  <c r="K8" i="10"/>
  <c r="L8" i="10"/>
  <c r="M8" i="10"/>
  <c r="N8" i="10"/>
  <c r="O8" i="10"/>
  <c r="P8" i="10"/>
  <c r="Q8" i="10"/>
  <c r="R8" i="10"/>
  <c r="S34" i="10"/>
  <c r="S28" i="10"/>
  <c r="S22" i="10"/>
  <c r="S15" i="10"/>
  <c r="S8" i="10"/>
  <c r="I102" i="9"/>
  <c r="J102" i="9"/>
  <c r="K102" i="9"/>
  <c r="L102" i="9"/>
  <c r="M102" i="9"/>
  <c r="N102" i="9"/>
  <c r="O102" i="9"/>
  <c r="P102" i="9"/>
  <c r="Q102" i="9"/>
  <c r="R102" i="9"/>
  <c r="S102" i="9"/>
  <c r="AI90" i="12" s="1"/>
  <c r="I103" i="9"/>
  <c r="J103" i="9"/>
  <c r="K103" i="9"/>
  <c r="L103" i="9"/>
  <c r="M103" i="9"/>
  <c r="N103" i="9"/>
  <c r="O103" i="9"/>
  <c r="P103" i="9"/>
  <c r="Q103" i="9"/>
  <c r="R103" i="9"/>
  <c r="S103" i="9"/>
  <c r="AI91" i="12" s="1"/>
  <c r="I104" i="9"/>
  <c r="J104" i="9"/>
  <c r="K104" i="9"/>
  <c r="L104" i="9"/>
  <c r="M104" i="9"/>
  <c r="N104" i="9"/>
  <c r="O104" i="9"/>
  <c r="P104" i="9"/>
  <c r="AF92" i="12" s="1"/>
  <c r="Q104" i="9"/>
  <c r="AG92" i="12" s="1"/>
  <c r="R104" i="9"/>
  <c r="S104" i="9"/>
  <c r="AI92" i="12" s="1"/>
  <c r="I105" i="9"/>
  <c r="J105" i="9"/>
  <c r="K105" i="9"/>
  <c r="L105" i="9"/>
  <c r="M105" i="9"/>
  <c r="AC93" i="12" s="1"/>
  <c r="N105" i="9"/>
  <c r="O105" i="9"/>
  <c r="P105" i="9"/>
  <c r="Q105" i="9"/>
  <c r="R105" i="9"/>
  <c r="AH93" i="12" s="1"/>
  <c r="S105" i="9"/>
  <c r="AI93" i="12" s="1"/>
  <c r="I106" i="9"/>
  <c r="J106" i="9"/>
  <c r="K106" i="9"/>
  <c r="L106" i="9"/>
  <c r="M106" i="9"/>
  <c r="N106" i="9"/>
  <c r="O106" i="9"/>
  <c r="P106" i="9"/>
  <c r="Q106" i="9"/>
  <c r="R106" i="9"/>
  <c r="S106" i="9"/>
  <c r="H103" i="9"/>
  <c r="H104" i="9"/>
  <c r="H105" i="9"/>
  <c r="H106" i="9"/>
  <c r="H102" i="9"/>
  <c r="E47" i="9"/>
  <c r="E52" i="9" s="1"/>
  <c r="F47" i="9"/>
  <c r="F52" i="9" s="1"/>
  <c r="G47" i="9"/>
  <c r="G52" i="9" s="1"/>
  <c r="H47" i="9"/>
  <c r="H52" i="9" s="1"/>
  <c r="I47" i="9"/>
  <c r="I52" i="9" s="1"/>
  <c r="J47" i="9"/>
  <c r="J52" i="9" s="1"/>
  <c r="K47" i="9"/>
  <c r="K52" i="9" s="1"/>
  <c r="D47" i="9"/>
  <c r="D52" i="9" s="1"/>
  <c r="E17" i="6" l="1"/>
  <c r="O52" i="6"/>
  <c r="AB91" i="12"/>
  <c r="AD90" i="12"/>
  <c r="AD92" i="12"/>
  <c r="AG91" i="12"/>
  <c r="AB90" i="12"/>
  <c r="AK54" i="12"/>
  <c r="AF93" i="12"/>
  <c r="AG90" i="12"/>
  <c r="AC92" i="12"/>
  <c r="AD91" i="12"/>
  <c r="AF91" i="12"/>
  <c r="AE90" i="12"/>
  <c r="AB93" i="12"/>
  <c r="AG93" i="12"/>
  <c r="AB92" i="12"/>
  <c r="AE91" i="12"/>
  <c r="AH90" i="12"/>
  <c r="AE93" i="12"/>
  <c r="AL55" i="12"/>
  <c r="AE92" i="12"/>
  <c r="AH91" i="12"/>
  <c r="AC90" i="12"/>
  <c r="AL78" i="12"/>
  <c r="AK128" i="12"/>
  <c r="AH92" i="12"/>
  <c r="AC91" i="12"/>
  <c r="AF90" i="12"/>
  <c r="AD93" i="12"/>
  <c r="AA121" i="9"/>
  <c r="AM56" i="12"/>
  <c r="AA120" i="9"/>
  <c r="AQ62" i="12" s="1"/>
  <c r="AM55" i="12"/>
  <c r="AM72" i="12"/>
  <c r="AA119" i="9"/>
  <c r="AM54" i="12"/>
  <c r="AM78" i="12"/>
  <c r="AA118" i="9"/>
  <c r="AM53" i="12"/>
  <c r="AA117" i="9"/>
  <c r="AM52" i="12"/>
  <c r="N52" i="6"/>
  <c r="Z98" i="9"/>
  <c r="AL246" i="12"/>
  <c r="M52" i="6"/>
  <c r="L52" i="6"/>
  <c r="K52" i="6"/>
  <c r="J52" i="6"/>
  <c r="Z64" i="10"/>
  <c r="AA86" i="9"/>
  <c r="AO110" i="12" s="1"/>
  <c r="Y64" i="10"/>
  <c r="X87" i="9"/>
  <c r="AN128" i="12" s="1"/>
  <c r="X64" i="10"/>
  <c r="P51" i="10"/>
  <c r="W97" i="9"/>
  <c r="AK246" i="12" s="1"/>
  <c r="W63" i="10"/>
  <c r="AM219" i="12" s="1"/>
  <c r="W87" i="9"/>
  <c r="AM128" i="12" s="1"/>
  <c r="W91" i="9"/>
  <c r="S52" i="6"/>
  <c r="W52" i="6"/>
  <c r="W64" i="10"/>
  <c r="N54" i="10"/>
  <c r="N97" i="9" s="1"/>
  <c r="M97" i="9"/>
  <c r="R52" i="6"/>
  <c r="V52" i="6"/>
  <c r="V91" i="9"/>
  <c r="H51" i="10"/>
  <c r="N72" i="10"/>
  <c r="R42" i="10"/>
  <c r="U72" i="10"/>
  <c r="R43" i="10"/>
  <c r="U73" i="10"/>
  <c r="O73" i="10"/>
  <c r="J55" i="10"/>
  <c r="K55" i="10" s="1"/>
  <c r="K76" i="10" s="1"/>
  <c r="E44" i="10"/>
  <c r="E47" i="10" s="1"/>
  <c r="E51" i="10" s="1"/>
  <c r="D56" i="9"/>
  <c r="D91" i="9"/>
  <c r="L91" i="9"/>
  <c r="H56" i="9"/>
  <c r="H91" i="9"/>
  <c r="P52" i="6"/>
  <c r="T52" i="6"/>
  <c r="O91" i="9"/>
  <c r="K56" i="9"/>
  <c r="K91" i="9"/>
  <c r="G56" i="9"/>
  <c r="G91" i="9"/>
  <c r="S54" i="10"/>
  <c r="S75" i="10" s="1"/>
  <c r="N91" i="9"/>
  <c r="J56" i="9"/>
  <c r="J91" i="9"/>
  <c r="F56" i="9"/>
  <c r="F91" i="9"/>
  <c r="N55" i="10"/>
  <c r="F42" i="10"/>
  <c r="G42" i="10" s="1"/>
  <c r="J54" i="10"/>
  <c r="J97" i="9" s="1"/>
  <c r="F54" i="10"/>
  <c r="M91" i="9"/>
  <c r="I56" i="9"/>
  <c r="I91" i="9"/>
  <c r="E56" i="9"/>
  <c r="E91" i="9"/>
  <c r="M72" i="10"/>
  <c r="M77" i="10"/>
  <c r="I73" i="10"/>
  <c r="Q52" i="6"/>
  <c r="U52" i="6"/>
  <c r="Q36" i="10"/>
  <c r="M36" i="10"/>
  <c r="S17" i="10"/>
  <c r="R17" i="10"/>
  <c r="N17" i="10"/>
  <c r="Q73" i="10"/>
  <c r="I52" i="6"/>
  <c r="L51" i="10"/>
  <c r="N46" i="10"/>
  <c r="O46" i="10" s="1"/>
  <c r="N63" i="10"/>
  <c r="J63" i="10"/>
  <c r="M63" i="10"/>
  <c r="I63" i="10"/>
  <c r="N73" i="10"/>
  <c r="R75" i="10"/>
  <c r="R77" i="10"/>
  <c r="L63" i="10"/>
  <c r="H63" i="10"/>
  <c r="G64" i="10"/>
  <c r="Q72" i="10"/>
  <c r="I72" i="10"/>
  <c r="M73" i="10"/>
  <c r="R76" i="10"/>
  <c r="AH239" i="12" s="1"/>
  <c r="F76" i="10"/>
  <c r="Q75" i="10"/>
  <c r="M75" i="10"/>
  <c r="I75" i="10"/>
  <c r="E75" i="10"/>
  <c r="Q77" i="10"/>
  <c r="I77" i="10"/>
  <c r="E77" i="10"/>
  <c r="O63" i="10"/>
  <c r="K63" i="10"/>
  <c r="Q76" i="10"/>
  <c r="E76" i="10"/>
  <c r="O50" i="10"/>
  <c r="F43" i="10"/>
  <c r="G43" i="10" s="1"/>
  <c r="D17" i="10"/>
  <c r="H17" i="10"/>
  <c r="E36" i="10"/>
  <c r="I36" i="10"/>
  <c r="K42" i="10"/>
  <c r="J44" i="10"/>
  <c r="J47" i="10" s="1"/>
  <c r="J51" i="10" s="1"/>
  <c r="I44" i="10"/>
  <c r="I47" i="10" s="1"/>
  <c r="I51" i="10" s="1"/>
  <c r="F17" i="10"/>
  <c r="J17" i="10"/>
  <c r="G17" i="10"/>
  <c r="K17" i="10"/>
  <c r="M44" i="10"/>
  <c r="M47" i="10" s="1"/>
  <c r="M51" i="10" s="1"/>
  <c r="Q44" i="10"/>
  <c r="Q47" i="10" s="1"/>
  <c r="Q51" i="10" s="1"/>
  <c r="L17" i="10"/>
  <c r="P17" i="10"/>
  <c r="N44" i="10"/>
  <c r="O42" i="10"/>
  <c r="K36" i="10"/>
  <c r="G36" i="10"/>
  <c r="Q17" i="10"/>
  <c r="M17" i="10"/>
  <c r="I17" i="10"/>
  <c r="E17" i="10"/>
  <c r="R36" i="10"/>
  <c r="N36" i="10"/>
  <c r="J36" i="10"/>
  <c r="F36" i="10"/>
  <c r="P36" i="10"/>
  <c r="L36" i="10"/>
  <c r="H36" i="10"/>
  <c r="D36" i="10"/>
  <c r="O17" i="10"/>
  <c r="O36" i="10"/>
  <c r="S36" i="10"/>
  <c r="E44" i="9"/>
  <c r="F44" i="9"/>
  <c r="G44" i="9"/>
  <c r="H44" i="9"/>
  <c r="I44" i="9"/>
  <c r="J44" i="9"/>
  <c r="K44" i="9"/>
  <c r="D44" i="9"/>
  <c r="E40" i="9"/>
  <c r="F40" i="9"/>
  <c r="G40" i="9"/>
  <c r="H40" i="9"/>
  <c r="L84" i="9" s="1"/>
  <c r="I40" i="9"/>
  <c r="M84" i="9" s="1"/>
  <c r="J40" i="9"/>
  <c r="N84" i="9" s="1"/>
  <c r="K40" i="9"/>
  <c r="D40" i="9"/>
  <c r="L79" i="9"/>
  <c r="M79" i="9"/>
  <c r="N79" i="9"/>
  <c r="O79" i="9"/>
  <c r="P79" i="9"/>
  <c r="Q79" i="9"/>
  <c r="K79" i="9" l="1"/>
  <c r="J79" i="9"/>
  <c r="I79" i="9"/>
  <c r="D79" i="9"/>
  <c r="F79" i="9"/>
  <c r="E79" i="9"/>
  <c r="H79" i="9"/>
  <c r="G79" i="9"/>
  <c r="AJ246" i="12"/>
  <c r="AJ219" i="12"/>
  <c r="AO62" i="12"/>
  <c r="AK219" i="12"/>
  <c r="AG239" i="12"/>
  <c r="AL128" i="12"/>
  <c r="AF239" i="12"/>
  <c r="AQ110" i="12"/>
  <c r="AP110" i="12"/>
  <c r="AP62" i="12"/>
  <c r="AL219" i="12"/>
  <c r="AA98" i="9"/>
  <c r="AM246" i="12"/>
  <c r="H93" i="9"/>
  <c r="AA93" i="9"/>
  <c r="Z93" i="9"/>
  <c r="J76" i="10"/>
  <c r="J84" i="9"/>
  <c r="N77" i="10"/>
  <c r="O54" i="10"/>
  <c r="O75" i="10" s="1"/>
  <c r="N75" i="10"/>
  <c r="S79" i="9"/>
  <c r="W74" i="9"/>
  <c r="S84" i="9"/>
  <c r="W84" i="9"/>
  <c r="F75" i="10"/>
  <c r="F97" i="9"/>
  <c r="I84" i="9"/>
  <c r="R72" i="10"/>
  <c r="V72" i="10"/>
  <c r="S43" i="10"/>
  <c r="V73" i="10"/>
  <c r="R79" i="9"/>
  <c r="V74" i="9"/>
  <c r="R84" i="9"/>
  <c r="V84" i="9"/>
  <c r="K84" i="9"/>
  <c r="O84" i="9"/>
  <c r="M98" i="9"/>
  <c r="I98" i="9"/>
  <c r="R73" i="10"/>
  <c r="S42" i="10"/>
  <c r="W72" i="10" s="1"/>
  <c r="F77" i="10"/>
  <c r="J72" i="10"/>
  <c r="R44" i="10"/>
  <c r="R47" i="10" s="1"/>
  <c r="R51" i="10" s="1"/>
  <c r="S77" i="10"/>
  <c r="U74" i="9"/>
  <c r="Q111" i="9"/>
  <c r="Q113" i="9"/>
  <c r="Q110" i="9"/>
  <c r="Q112" i="9"/>
  <c r="Q114" i="9"/>
  <c r="I111" i="9"/>
  <c r="I113" i="9"/>
  <c r="I110" i="9"/>
  <c r="I112" i="9"/>
  <c r="I114" i="9"/>
  <c r="D112" i="9"/>
  <c r="D114" i="9"/>
  <c r="D111" i="9"/>
  <c r="D113" i="9"/>
  <c r="D110" i="9"/>
  <c r="T74" i="9"/>
  <c r="P112" i="9"/>
  <c r="P114" i="9"/>
  <c r="P111" i="9"/>
  <c r="P113" i="9"/>
  <c r="P110" i="9"/>
  <c r="L112" i="9"/>
  <c r="L114" i="9"/>
  <c r="L111" i="9"/>
  <c r="L113" i="9"/>
  <c r="L110" i="9"/>
  <c r="H112" i="9"/>
  <c r="H114" i="9"/>
  <c r="H111" i="9"/>
  <c r="H113" i="9"/>
  <c r="H110" i="9"/>
  <c r="E111" i="9"/>
  <c r="E113" i="9"/>
  <c r="E110" i="9"/>
  <c r="E112" i="9"/>
  <c r="E114" i="9"/>
  <c r="S112" i="9"/>
  <c r="S114" i="9"/>
  <c r="S113" i="9"/>
  <c r="S111" i="9"/>
  <c r="S110" i="9"/>
  <c r="O112" i="9"/>
  <c r="O114" i="9"/>
  <c r="O110" i="9"/>
  <c r="O111" i="9"/>
  <c r="O113" i="9"/>
  <c r="K112" i="9"/>
  <c r="K114" i="9"/>
  <c r="K113" i="9"/>
  <c r="K111" i="9"/>
  <c r="K110" i="9"/>
  <c r="G112" i="9"/>
  <c r="G114" i="9"/>
  <c r="G110" i="9"/>
  <c r="G111" i="9"/>
  <c r="G113" i="9"/>
  <c r="M93" i="9"/>
  <c r="J93" i="9"/>
  <c r="K93" i="9"/>
  <c r="M111" i="9"/>
  <c r="M113" i="9"/>
  <c r="M110" i="9"/>
  <c r="M114" i="9"/>
  <c r="M112" i="9"/>
  <c r="R111" i="9"/>
  <c r="R113" i="9"/>
  <c r="R110" i="9"/>
  <c r="R112" i="9"/>
  <c r="R114" i="9"/>
  <c r="N111" i="9"/>
  <c r="N113" i="9"/>
  <c r="N110" i="9"/>
  <c r="N112" i="9"/>
  <c r="N114" i="9"/>
  <c r="J111" i="9"/>
  <c r="J113" i="9"/>
  <c r="J110" i="9"/>
  <c r="J112" i="9"/>
  <c r="J114" i="9"/>
  <c r="F111" i="9"/>
  <c r="F113" i="9"/>
  <c r="F110" i="9"/>
  <c r="F112" i="9"/>
  <c r="F114" i="9"/>
  <c r="K54" i="10"/>
  <c r="K97" i="9" s="1"/>
  <c r="N98" i="9"/>
  <c r="U84" i="9"/>
  <c r="Q84" i="9"/>
  <c r="P84" i="9"/>
  <c r="T84" i="9"/>
  <c r="H84" i="9"/>
  <c r="N47" i="10"/>
  <c r="N51" i="10" s="1"/>
  <c r="I93" i="9"/>
  <c r="G54" i="10"/>
  <c r="G97" i="9" s="1"/>
  <c r="N76" i="10"/>
  <c r="O55" i="10"/>
  <c r="O76" i="10" s="1"/>
  <c r="AE239" i="12" s="1"/>
  <c r="N93" i="9"/>
  <c r="O93" i="9"/>
  <c r="L93" i="9"/>
  <c r="G44" i="10"/>
  <c r="G47" i="10" s="1"/>
  <c r="G51" i="10" s="1"/>
  <c r="J77" i="10"/>
  <c r="J75" i="10"/>
  <c r="S74" i="9"/>
  <c r="R74" i="9"/>
  <c r="Q74" i="9"/>
  <c r="P74" i="9"/>
  <c r="O74" i="9"/>
  <c r="M74" i="9"/>
  <c r="L74" i="9"/>
  <c r="J43" i="9"/>
  <c r="N74" i="9"/>
  <c r="G43" i="9"/>
  <c r="K74" i="9"/>
  <c r="F43" i="9"/>
  <c r="J74" i="9"/>
  <c r="E43" i="9"/>
  <c r="I74" i="9"/>
  <c r="D43" i="9"/>
  <c r="H74" i="9"/>
  <c r="Q97" i="9"/>
  <c r="F44" i="10"/>
  <c r="F47" i="10" s="1"/>
  <c r="F51" i="10" s="1"/>
  <c r="K73" i="10"/>
  <c r="P97" i="9"/>
  <c r="J73" i="10"/>
  <c r="O44" i="10"/>
  <c r="O47" i="10" s="1"/>
  <c r="O51" i="10" s="1"/>
  <c r="O72" i="10"/>
  <c r="K44" i="10"/>
  <c r="K47" i="10" s="1"/>
  <c r="K51" i="10" s="1"/>
  <c r="K72" i="10"/>
  <c r="I43" i="9"/>
  <c r="H43" i="9"/>
  <c r="K43" i="9"/>
  <c r="H118" i="9" l="1"/>
  <c r="H121" i="9"/>
  <c r="H24" i="9"/>
  <c r="H41" i="9"/>
  <c r="I24" i="9"/>
  <c r="I41" i="9"/>
  <c r="G24" i="9"/>
  <c r="G41" i="9"/>
  <c r="E24" i="9"/>
  <c r="E41" i="9"/>
  <c r="J24" i="9"/>
  <c r="J41" i="9"/>
  <c r="F24" i="9"/>
  <c r="F41" i="9"/>
  <c r="K24" i="9"/>
  <c r="K41" i="9"/>
  <c r="D24" i="9"/>
  <c r="D41" i="9"/>
  <c r="H119" i="9"/>
  <c r="AD52" i="12"/>
  <c r="AD56" i="12"/>
  <c r="AD53" i="12"/>
  <c r="AC53" i="12"/>
  <c r="AE52" i="12"/>
  <c r="AC56" i="12"/>
  <c r="AE56" i="12"/>
  <c r="AC52" i="12"/>
  <c r="AE53" i="12"/>
  <c r="AB239" i="12"/>
  <c r="AF52" i="12"/>
  <c r="AF56" i="12"/>
  <c r="AF53" i="12"/>
  <c r="AG52" i="12"/>
  <c r="AG53" i="12"/>
  <c r="AG56" i="12"/>
  <c r="AD239" i="12"/>
  <c r="AC239" i="12"/>
  <c r="V118" i="9"/>
  <c r="AH53" i="12"/>
  <c r="AE55" i="12"/>
  <c r="AE72" i="12"/>
  <c r="V119" i="9"/>
  <c r="AH78" i="12"/>
  <c r="AH54" i="12"/>
  <c r="AF72" i="12"/>
  <c r="AF55" i="12"/>
  <c r="H117" i="9"/>
  <c r="AD72" i="12"/>
  <c r="AD55" i="12"/>
  <c r="V121" i="9"/>
  <c r="AH56" i="12"/>
  <c r="V117" i="9"/>
  <c r="AH52" i="12"/>
  <c r="V120" i="9"/>
  <c r="AH72" i="12"/>
  <c r="AH55" i="12"/>
  <c r="AE54" i="12"/>
  <c r="AE78" i="12"/>
  <c r="H120" i="9"/>
  <c r="W117" i="9"/>
  <c r="AI52" i="12"/>
  <c r="AF78" i="12"/>
  <c r="AF54" i="12"/>
  <c r="AC78" i="12"/>
  <c r="AC54" i="12"/>
  <c r="W118" i="9"/>
  <c r="AI53" i="12"/>
  <c r="AG78" i="12"/>
  <c r="AG54" i="12"/>
  <c r="W120" i="9"/>
  <c r="AM62" i="12" s="1"/>
  <c r="AI72" i="12"/>
  <c r="AI55" i="12"/>
  <c r="W121" i="9"/>
  <c r="AI56" i="12"/>
  <c r="AG72" i="12"/>
  <c r="AG55" i="12"/>
  <c r="AD54" i="12"/>
  <c r="AD78" i="12"/>
  <c r="AC55" i="12"/>
  <c r="AC72" i="12"/>
  <c r="W119" i="9"/>
  <c r="AI54" i="12"/>
  <c r="AI78" i="12"/>
  <c r="S72" i="10"/>
  <c r="S44" i="10"/>
  <c r="S47" i="10" s="1"/>
  <c r="S51" i="10" s="1"/>
  <c r="O77" i="10"/>
  <c r="O97" i="9"/>
  <c r="M117" i="9"/>
  <c r="S97" i="9"/>
  <c r="AI246" i="12" s="1"/>
  <c r="W86" i="9"/>
  <c r="AM110" i="12" s="1"/>
  <c r="V86" i="9"/>
  <c r="AL110" i="12" s="1"/>
  <c r="R97" i="9"/>
  <c r="S73" i="10"/>
  <c r="W73" i="10"/>
  <c r="V64" i="10"/>
  <c r="J121" i="9"/>
  <c r="J118" i="9"/>
  <c r="N120" i="9"/>
  <c r="R117" i="9"/>
  <c r="K119" i="9"/>
  <c r="O121" i="9"/>
  <c r="M119" i="9"/>
  <c r="L121" i="9"/>
  <c r="O120" i="9"/>
  <c r="J119" i="9"/>
  <c r="N121" i="9"/>
  <c r="N118" i="9"/>
  <c r="R120" i="9"/>
  <c r="K118" i="9"/>
  <c r="O119" i="9"/>
  <c r="S121" i="9"/>
  <c r="L117" i="9"/>
  <c r="L119" i="9"/>
  <c r="I121" i="9"/>
  <c r="I118" i="9"/>
  <c r="M120" i="9"/>
  <c r="K120" i="9"/>
  <c r="S117" i="9"/>
  <c r="T121" i="9"/>
  <c r="P121" i="9"/>
  <c r="U64" i="10"/>
  <c r="M121" i="9"/>
  <c r="K117" i="9"/>
  <c r="S120" i="9"/>
  <c r="T118" i="9"/>
  <c r="P118" i="9"/>
  <c r="I120" i="9"/>
  <c r="Q117" i="9"/>
  <c r="U117" i="9"/>
  <c r="J117" i="9"/>
  <c r="N119" i="9"/>
  <c r="R121" i="9"/>
  <c r="R118" i="9"/>
  <c r="O118" i="9"/>
  <c r="S119" i="9"/>
  <c r="L120" i="9"/>
  <c r="P117" i="9"/>
  <c r="T117" i="9"/>
  <c r="P119" i="9"/>
  <c r="T119" i="9"/>
  <c r="I119" i="9"/>
  <c r="U121" i="9"/>
  <c r="Q121" i="9"/>
  <c r="U118" i="9"/>
  <c r="Q118" i="9"/>
  <c r="Q120" i="9"/>
  <c r="U120" i="9"/>
  <c r="AK62" i="12" s="1"/>
  <c r="J120" i="9"/>
  <c r="N117" i="9"/>
  <c r="R119" i="9"/>
  <c r="M118" i="9"/>
  <c r="K121" i="9"/>
  <c r="O117" i="9"/>
  <c r="S118" i="9"/>
  <c r="L118" i="9"/>
  <c r="T120" i="9"/>
  <c r="AJ62" i="12" s="1"/>
  <c r="P120" i="9"/>
  <c r="I117" i="9"/>
  <c r="Q119" i="9"/>
  <c r="U119" i="9"/>
  <c r="J98" i="9"/>
  <c r="K77" i="10"/>
  <c r="K75" i="10"/>
  <c r="U86" i="9"/>
  <c r="AK110" i="12" s="1"/>
  <c r="T64" i="10"/>
  <c r="G77" i="10"/>
  <c r="G75" i="10"/>
  <c r="R87" i="9"/>
  <c r="R86" i="9"/>
  <c r="Q86" i="9"/>
  <c r="S63" i="10"/>
  <c r="AI219" i="12" s="1"/>
  <c r="T87" i="9"/>
  <c r="AJ128" i="12" s="1"/>
  <c r="S86" i="9"/>
  <c r="S87" i="9"/>
  <c r="T86" i="9"/>
  <c r="P86" i="9"/>
  <c r="P87" i="9"/>
  <c r="Q87" i="9"/>
  <c r="P64" i="10"/>
  <c r="R64" i="10"/>
  <c r="Q64" i="10"/>
  <c r="S64" i="10"/>
  <c r="P63" i="10"/>
  <c r="R63" i="10"/>
  <c r="Q63" i="10"/>
  <c r="AC128" i="12" l="1"/>
  <c r="AB219" i="12"/>
  <c r="AB246" i="12"/>
  <c r="AC110" i="12"/>
  <c r="AD128" i="12"/>
  <c r="AB128" i="12"/>
  <c r="AI110" i="12"/>
  <c r="AD110" i="12"/>
  <c r="AB110" i="12"/>
  <c r="AC62" i="12"/>
  <c r="AF246" i="12"/>
  <c r="AD219" i="12"/>
  <c r="AC219" i="12"/>
  <c r="AI62" i="12"/>
  <c r="AH110" i="12"/>
  <c r="AG219" i="12"/>
  <c r="AH128" i="12"/>
  <c r="AD246" i="12"/>
  <c r="AC246" i="12"/>
  <c r="AH62" i="12"/>
  <c r="AH246" i="12"/>
  <c r="AG128" i="12"/>
  <c r="AG110" i="12"/>
  <c r="AG62" i="12"/>
  <c r="AF128" i="12"/>
  <c r="AE128" i="12"/>
  <c r="AF110" i="12"/>
  <c r="AE110" i="12"/>
  <c r="AJ110" i="12"/>
  <c r="AI128" i="12"/>
  <c r="AL62" i="12"/>
  <c r="AH219" i="12"/>
  <c r="AF219" i="12"/>
  <c r="AE219" i="12"/>
  <c r="AG246" i="12"/>
  <c r="O98" i="9"/>
  <c r="AE246" i="12"/>
  <c r="S98" i="9"/>
  <c r="W98" i="9"/>
  <c r="R98" i="9"/>
  <c r="V98" i="9"/>
  <c r="K98" i="9"/>
  <c r="Q98" i="9"/>
  <c r="U98" i="9"/>
  <c r="Q91" i="9"/>
  <c r="S91" i="9"/>
  <c r="R91" i="9"/>
  <c r="P91" i="9"/>
  <c r="P98" i="9"/>
  <c r="T98" i="9"/>
  <c r="F32" i="6"/>
  <c r="G32" i="6"/>
  <c r="H32" i="6"/>
  <c r="I32" i="6"/>
  <c r="J32" i="6"/>
  <c r="K32" i="6"/>
  <c r="L32" i="6"/>
  <c r="M32" i="6"/>
  <c r="N32" i="6"/>
  <c r="O32" i="6"/>
  <c r="P32" i="6"/>
  <c r="AF155" i="12" s="1"/>
  <c r="Q32" i="6"/>
  <c r="AG155" i="12" s="1"/>
  <c r="R32" i="6"/>
  <c r="AH155" i="12" s="1"/>
  <c r="S32" i="6"/>
  <c r="AI155" i="12" s="1"/>
  <c r="E32" i="6"/>
  <c r="AD155" i="12" l="1"/>
  <c r="AC155" i="12"/>
  <c r="AB155" i="12"/>
  <c r="AE155" i="12"/>
  <c r="S93" i="9"/>
  <c r="W93" i="9"/>
  <c r="R93" i="9"/>
  <c r="V93" i="9"/>
  <c r="Q93" i="9"/>
  <c r="U93" i="9"/>
  <c r="T93" i="9"/>
  <c r="P93" i="9"/>
  <c r="H37" i="6"/>
  <c r="I37" i="6"/>
  <c r="J37" i="6"/>
  <c r="K37" i="6"/>
  <c r="L37" i="6"/>
  <c r="M37" i="6"/>
  <c r="N37" i="6"/>
  <c r="O37" i="6"/>
  <c r="AE173" i="12" s="1"/>
  <c r="P37" i="6"/>
  <c r="AF173" i="12" s="1"/>
  <c r="Q37" i="6"/>
  <c r="AG173" i="12" s="1"/>
  <c r="R37" i="6"/>
  <c r="AH173" i="12" s="1"/>
  <c r="S37" i="6"/>
  <c r="AI173" i="12" s="1"/>
  <c r="AD173" i="12" l="1"/>
  <c r="AB173" i="12"/>
  <c r="AC173" i="12"/>
  <c r="C68" i="9"/>
  <c r="D68" i="9"/>
  <c r="E68" i="9"/>
  <c r="F68" i="9"/>
  <c r="G68" i="9"/>
  <c r="H68" i="9"/>
  <c r="I68" i="9"/>
  <c r="J68" i="9"/>
  <c r="K68" i="9"/>
  <c r="L68" i="9"/>
  <c r="M68" i="9"/>
  <c r="N68" i="9"/>
  <c r="O68" i="9"/>
  <c r="E72" i="9"/>
  <c r="F72" i="9"/>
  <c r="G72" i="9"/>
  <c r="S44" i="6" l="1"/>
  <c r="AI183" i="12" s="1"/>
  <c r="R44" i="6"/>
  <c r="AH183" i="12" s="1"/>
  <c r="Q44" i="6"/>
  <c r="AG183" i="12" s="1"/>
  <c r="P44" i="6"/>
  <c r="AF183" i="12" s="1"/>
  <c r="O44" i="6"/>
  <c r="AE183" i="12" s="1"/>
  <c r="N44" i="6"/>
  <c r="AD183" i="12" s="1"/>
  <c r="M44" i="6"/>
  <c r="L44" i="6"/>
  <c r="AB183" i="12" s="1"/>
  <c r="K44" i="6"/>
  <c r="J44" i="6"/>
  <c r="I44" i="6"/>
  <c r="H44" i="6"/>
  <c r="S33" i="6"/>
  <c r="R33" i="6"/>
  <c r="Q33" i="6"/>
  <c r="P33" i="6"/>
  <c r="O33" i="6"/>
  <c r="N33" i="6"/>
  <c r="M33" i="6"/>
  <c r="L33" i="6"/>
  <c r="K33" i="6"/>
  <c r="J33" i="6"/>
  <c r="I33" i="6"/>
  <c r="H33" i="6"/>
  <c r="S31" i="6"/>
  <c r="R31" i="6"/>
  <c r="Q31" i="6"/>
  <c r="P31" i="6"/>
  <c r="O31" i="6"/>
  <c r="N31" i="6"/>
  <c r="M31" i="6"/>
  <c r="L31" i="6"/>
  <c r="K31" i="6"/>
  <c r="J31" i="6"/>
  <c r="I31" i="6"/>
  <c r="H31" i="6"/>
  <c r="G31" i="6"/>
  <c r="F31" i="6"/>
  <c r="E31" i="6"/>
  <c r="D31" i="6"/>
  <c r="D40" i="6" s="1"/>
  <c r="AC183" i="12" l="1"/>
  <c r="G47" i="6"/>
  <c r="G40" i="6"/>
  <c r="K47" i="6"/>
  <c r="K40" i="6"/>
  <c r="O47" i="6"/>
  <c r="O40" i="6"/>
  <c r="S47" i="6"/>
  <c r="S40" i="6"/>
  <c r="H47" i="6"/>
  <c r="H40" i="6"/>
  <c r="L47" i="6"/>
  <c r="AB202" i="12" s="1"/>
  <c r="L40" i="6"/>
  <c r="P47" i="6"/>
  <c r="P40" i="6"/>
  <c r="E40" i="6"/>
  <c r="E42" i="6" s="1"/>
  <c r="E47" i="6"/>
  <c r="I40" i="6"/>
  <c r="I47" i="6"/>
  <c r="M40" i="6"/>
  <c r="M47" i="6"/>
  <c r="AC202" i="12" s="1"/>
  <c r="Q40" i="6"/>
  <c r="AG167" i="12" s="1"/>
  <c r="Q47" i="6"/>
  <c r="AG202" i="12" s="1"/>
  <c r="F47" i="6"/>
  <c r="F40" i="6"/>
  <c r="J47" i="6"/>
  <c r="J40" i="6"/>
  <c r="N47" i="6"/>
  <c r="AD202" i="12" s="1"/>
  <c r="N40" i="6"/>
  <c r="R47" i="6"/>
  <c r="R40" i="6"/>
  <c r="AE202" i="12" l="1"/>
  <c r="AF202" i="12"/>
  <c r="AB167" i="12"/>
  <c r="AF167" i="12"/>
  <c r="AC167" i="12"/>
  <c r="AE167" i="12"/>
  <c r="AD167" i="12"/>
  <c r="W48" i="6"/>
  <c r="AI202" i="12"/>
  <c r="V48" i="6"/>
  <c r="AH202" i="12"/>
  <c r="W41" i="6"/>
  <c r="AI167" i="12"/>
  <c r="V41" i="6"/>
  <c r="AH167" i="12"/>
  <c r="M48" i="6"/>
  <c r="F42" i="6"/>
  <c r="R48" i="6"/>
  <c r="J48" i="6"/>
  <c r="O48" i="6"/>
  <c r="Q41" i="6"/>
  <c r="U41" i="6"/>
  <c r="Q42" i="6"/>
  <c r="I42" i="6"/>
  <c r="I41" i="6"/>
  <c r="T48" i="6"/>
  <c r="P48" i="6"/>
  <c r="N42" i="6"/>
  <c r="N41" i="6"/>
  <c r="L42" i="6"/>
  <c r="L41" i="6"/>
  <c r="T42" i="6"/>
  <c r="S41" i="6"/>
  <c r="S42" i="6"/>
  <c r="K41" i="6"/>
  <c r="K42" i="6"/>
  <c r="N48" i="6"/>
  <c r="M41" i="6"/>
  <c r="M42" i="6"/>
  <c r="L48" i="6"/>
  <c r="S48" i="6"/>
  <c r="K48" i="6"/>
  <c r="R42" i="6"/>
  <c r="R41" i="6"/>
  <c r="J42" i="6"/>
  <c r="J41" i="6"/>
  <c r="U48" i="6"/>
  <c r="Q48" i="6"/>
  <c r="I48" i="6"/>
  <c r="P41" i="6"/>
  <c r="T41" i="6"/>
  <c r="P42" i="6"/>
  <c r="H41" i="6"/>
  <c r="H42" i="6"/>
  <c r="O41" i="6"/>
  <c r="O42" i="6"/>
  <c r="G42" i="6"/>
  <c r="AN16" i="9" l="1"/>
  <c r="AN14" i="9" s="1"/>
  <c r="AO17" i="9"/>
  <c r="AO29" i="9" s="1"/>
  <c r="AO16" i="9" l="1"/>
  <c r="AO14" i="9" s="1"/>
  <c r="AO8" i="9"/>
  <c r="AP17" i="9"/>
  <c r="AO6" i="9" l="1"/>
  <c r="AP8" i="9"/>
  <c r="AP29" i="9"/>
  <c r="AQ17" i="9"/>
  <c r="AQ29" i="9" s="1"/>
  <c r="AP16" i="9"/>
  <c r="AP14" i="9" s="1"/>
  <c r="AP6" i="9" l="1"/>
  <c r="AO28" i="9"/>
  <c r="AO30" i="9" s="1"/>
  <c r="AO32" i="9" s="1"/>
  <c r="AQ16" i="9"/>
  <c r="AQ14" i="9" s="1"/>
  <c r="AQ8" i="9"/>
  <c r="AT62" i="12"/>
  <c r="AN62" i="12"/>
  <c r="AO55" i="12"/>
  <c r="Z17" i="9"/>
  <c r="Z24" i="9"/>
  <c r="Z43" i="9"/>
  <c r="Z45" i="9" s="1"/>
  <c r="Z74" i="9"/>
  <c r="AD74" i="9"/>
  <c r="Z79" i="9"/>
  <c r="Z110" i="9"/>
  <c r="AB52" i="12" s="1"/>
  <c r="Z111" i="9"/>
  <c r="AD118" i="9" s="1"/>
  <c r="Z112" i="9"/>
  <c r="AB78" i="12" s="1"/>
  <c r="Z113" i="9"/>
  <c r="AB72" i="12" s="1"/>
  <c r="Z114" i="9"/>
  <c r="Z121" i="9" s="1"/>
  <c r="AQ6" i="9" l="1"/>
  <c r="AP28" i="9"/>
  <c r="AP30" i="9" s="1"/>
  <c r="AP32" i="9" s="1"/>
  <c r="Z8" i="9"/>
  <c r="Z29" i="9"/>
  <c r="Z30" i="9" s="1"/>
  <c r="Z119" i="9"/>
  <c r="Z118" i="9"/>
  <c r="Z41" i="9"/>
  <c r="Z120" i="9"/>
  <c r="AB62" i="12" s="1"/>
  <c r="AD119" i="9"/>
  <c r="AB56" i="12"/>
  <c r="AD121" i="9"/>
  <c r="AD117" i="9"/>
  <c r="AB55" i="12"/>
  <c r="Z117" i="9"/>
  <c r="AB54" i="12"/>
  <c r="AD120" i="9"/>
  <c r="AD62" i="12" s="1"/>
  <c r="AD45" i="9"/>
  <c r="AB115" i="12"/>
  <c r="AB53" i="12"/>
  <c r="Z9" i="9" l="1"/>
  <c r="Z10" i="9" s="1"/>
  <c r="AQ28" i="9"/>
  <c r="AQ30" i="9" s="1"/>
  <c r="AQ32" i="9" s="1"/>
  <c r="AF62" i="12"/>
  <c r="AE62" i="12"/>
  <c r="Z31" i="9" l="1"/>
  <c r="Z32"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Kelvin</author>
    <author>David</author>
    <author>Casper Erskine</author>
  </authors>
  <commentList>
    <comment ref="AR6" authorId="0" shapeId="0" xr:uid="{67A1697E-AE4A-4A19-9902-238403044CBD}">
      <text>
        <r>
          <rPr>
            <b/>
            <sz val="9"/>
            <color indexed="81"/>
            <rFont val="Tahoma"/>
            <family val="2"/>
          </rPr>
          <t>Kelvin:</t>
        </r>
        <r>
          <rPr>
            <sz val="9"/>
            <color indexed="81"/>
            <rFont val="Tahoma"/>
            <family val="2"/>
          </rPr>
          <t xml:space="preserve">
data, digital and voice and sms</t>
        </r>
      </text>
    </comment>
    <comment ref="A10" authorId="0" shapeId="0" xr:uid="{6CD942B7-9BA3-402E-AC2A-3DEA4172F39B}">
      <text>
        <r>
          <rPr>
            <b/>
            <sz val="9"/>
            <color indexed="81"/>
            <rFont val="Tahoma"/>
            <family val="2"/>
          </rPr>
          <t>Kelvin:</t>
        </r>
        <r>
          <rPr>
            <sz val="9"/>
            <color indexed="81"/>
            <rFont val="Tahoma"/>
            <family val="2"/>
          </rPr>
          <t xml:space="preserve">
post Hypernet acquisition in Q2 22</t>
        </r>
      </text>
    </comment>
    <comment ref="A13" authorId="0" shapeId="0" xr:uid="{608068AC-FFB1-4E55-8F46-BF662B4C3A88}">
      <text>
        <r>
          <rPr>
            <b/>
            <sz val="9"/>
            <color indexed="81"/>
            <rFont val="Tahoma"/>
            <family val="2"/>
          </rPr>
          <t>Kelvin:</t>
        </r>
        <r>
          <rPr>
            <sz val="9"/>
            <color indexed="81"/>
            <rFont val="Tahoma"/>
            <family val="2"/>
          </rPr>
          <t xml:space="preserve">
Data and non-data</t>
        </r>
      </text>
    </comment>
    <comment ref="AI13" authorId="1" shapeId="0" xr:uid="{D71E1DE7-44E5-4C36-8C4C-E865413B07D4}">
      <text>
        <r>
          <rPr>
            <b/>
            <sz val="9"/>
            <color indexed="81"/>
            <rFont val="Tahoma"/>
            <family val="2"/>
          </rPr>
          <t>David:</t>
        </r>
        <r>
          <rPr>
            <sz val="9"/>
            <color indexed="81"/>
            <rFont val="Tahoma"/>
            <family val="2"/>
          </rPr>
          <t xml:space="preserve">
ex FTTH
5861</t>
        </r>
      </text>
    </comment>
    <comment ref="AL13" authorId="1" shapeId="0" xr:uid="{2E1FCA5D-A1DB-43E3-9B8F-8B339CB18DB6}">
      <text>
        <r>
          <rPr>
            <b/>
            <sz val="9"/>
            <color indexed="81"/>
            <rFont val="Tahoma"/>
            <family val="2"/>
          </rPr>
          <t>David:</t>
        </r>
        <r>
          <rPr>
            <sz val="9"/>
            <color indexed="81"/>
            <rFont val="Tahoma"/>
            <family val="2"/>
          </rPr>
          <t xml:space="preserve">
ex FTTH
6320</t>
        </r>
      </text>
    </comment>
    <comment ref="AO13" authorId="0" shapeId="0" xr:uid="{8C16EBCD-33CE-4616-895A-9E7E16CDC835}">
      <text>
        <r>
          <rPr>
            <b/>
            <sz val="9"/>
            <color indexed="81"/>
            <rFont val="Tahoma"/>
            <family val="2"/>
          </rPr>
          <t>Kelvin:</t>
        </r>
        <r>
          <rPr>
            <sz val="9"/>
            <color indexed="81"/>
            <rFont val="Tahoma"/>
            <family val="2"/>
          </rPr>
          <t xml:space="preserve">
Post Hypernet acquisition</t>
        </r>
      </text>
    </comment>
    <comment ref="AO15" authorId="0" shapeId="0" xr:uid="{7DB176CE-FA6D-442E-9F7A-FB2B31EF1EB4}">
      <text>
        <r>
          <rPr>
            <b/>
            <sz val="9"/>
            <color indexed="81"/>
            <rFont val="Tahoma"/>
            <family val="2"/>
          </rPr>
          <t>Kelvin:</t>
        </r>
        <r>
          <rPr>
            <sz val="9"/>
            <color indexed="81"/>
            <rFont val="Tahoma"/>
            <family val="2"/>
          </rPr>
          <t xml:space="preserve">
lumped with interconnect and roaming in Q2 22</t>
        </r>
      </text>
    </comment>
    <comment ref="A16" authorId="0" shapeId="0" xr:uid="{39E92463-C1AE-4CBC-A29D-3611F41ACF8C}">
      <text>
        <r>
          <rPr>
            <b/>
            <sz val="9"/>
            <color indexed="81"/>
            <rFont val="Tahoma"/>
            <family val="2"/>
          </rPr>
          <t>Kelvin:</t>
        </r>
        <r>
          <rPr>
            <sz val="9"/>
            <color indexed="81"/>
            <rFont val="Tahoma"/>
            <family val="2"/>
          </rPr>
          <t xml:space="preserve">
Other telco services, leased towers, leased lines</t>
        </r>
      </text>
    </comment>
    <comment ref="AO23" authorId="0" shapeId="0" xr:uid="{4C5725F2-13DC-43C9-B146-71EA5FB771B6}">
      <text>
        <r>
          <rPr>
            <b/>
            <sz val="9"/>
            <color indexed="81"/>
            <rFont val="Tahoma"/>
            <family val="2"/>
          </rPr>
          <t>Kelvin:</t>
        </r>
        <r>
          <rPr>
            <sz val="9"/>
            <color indexed="81"/>
            <rFont val="Tahoma"/>
            <family val="2"/>
          </rPr>
          <t xml:space="preserve">
Post Hypernet acquisition</t>
        </r>
      </text>
    </comment>
    <comment ref="A31" authorId="0" shapeId="0" xr:uid="{B45CAFA9-0F22-478C-9D54-2A0AA160E9A9}">
      <text>
        <r>
          <rPr>
            <b/>
            <sz val="9"/>
            <color indexed="81"/>
            <rFont val="Tahoma"/>
            <family val="2"/>
          </rPr>
          <t>Kelvin:</t>
        </r>
        <r>
          <rPr>
            <sz val="9"/>
            <color indexed="81"/>
            <rFont val="Tahoma"/>
            <family val="2"/>
          </rPr>
          <t xml:space="preserve">
post Hypernet acquisition in Q2 22</t>
        </r>
      </text>
    </comment>
    <comment ref="W42" authorId="2" shapeId="0" xr:uid="{00000000-0006-0000-0100-000001000000}">
      <text>
        <r>
          <rPr>
            <b/>
            <sz val="9"/>
            <color indexed="81"/>
            <rFont val="Tahoma"/>
            <family val="2"/>
          </rPr>
          <t>Casper Erskine:</t>
        </r>
        <r>
          <rPr>
            <sz val="9"/>
            <color indexed="81"/>
            <rFont val="Tahoma"/>
            <family val="2"/>
          </rPr>
          <t xml:space="preserve">
Impacted by severance costs, underlying c.2,485</t>
        </r>
      </text>
    </comment>
    <comment ref="AI46" authorId="1" shapeId="0" xr:uid="{D804CA11-521B-4095-8CDE-9DF544227014}">
      <text>
        <r>
          <rPr>
            <sz val="9"/>
            <color indexed="81"/>
            <rFont val="Tahoma"/>
            <family val="2"/>
          </rPr>
          <t xml:space="preserve">
One off 3G asset depreciation</t>
        </r>
      </text>
    </comment>
    <comment ref="AF56" authorId="1" shapeId="0" xr:uid="{00000000-0006-0000-0100-000002000000}">
      <text>
        <r>
          <rPr>
            <sz val="11"/>
            <color indexed="81"/>
            <rFont val="Tahoma"/>
            <family val="2"/>
          </rPr>
          <t xml:space="preserve">
Helped by tower sale</t>
        </r>
      </text>
    </comment>
    <comment ref="AJ56" authorId="0" shapeId="0" xr:uid="{2EA92EEF-3DB1-48E4-A163-D4FD36E70905}">
      <text>
        <r>
          <rPr>
            <b/>
            <sz val="9"/>
            <color indexed="81"/>
            <rFont val="Tahoma"/>
            <family val="2"/>
          </rPr>
          <t>Kelvin:</t>
        </r>
        <r>
          <rPr>
            <sz val="9"/>
            <color indexed="81"/>
            <rFont val="Tahoma"/>
            <family val="2"/>
          </rPr>
          <t xml:space="preserve">
IDR93bn picocell gain, IDR4bn tower loss, IDR2bn forex gain</t>
        </r>
      </text>
    </comment>
    <comment ref="AM56" authorId="0" shapeId="0" xr:uid="{115C51BC-B6FA-4290-98F7-A6879DF354D3}">
      <text>
        <r>
          <rPr>
            <b/>
            <sz val="9"/>
            <color indexed="81"/>
            <rFont val="Tahoma"/>
            <family val="2"/>
          </rPr>
          <t>Kelvin:</t>
        </r>
        <r>
          <rPr>
            <sz val="9"/>
            <color indexed="81"/>
            <rFont val="Tahoma"/>
            <family val="2"/>
          </rPr>
          <t xml:space="preserve">
IDR2bn forex gain</t>
        </r>
      </text>
    </comment>
    <comment ref="AN56" authorId="0" shapeId="0" xr:uid="{B1AE800D-5C76-4F16-AD15-6B397BF9A8FC}">
      <text>
        <r>
          <rPr>
            <b/>
            <sz val="9"/>
            <color indexed="81"/>
            <rFont val="Tahoma"/>
            <family val="2"/>
          </rPr>
          <t>Kelvin:</t>
        </r>
        <r>
          <rPr>
            <sz val="9"/>
            <color indexed="81"/>
            <rFont val="Tahoma"/>
            <family val="2"/>
          </rPr>
          <t xml:space="preserve">
IDR30bn acc. Depreciation
IDR1.6bn forex loss</t>
        </r>
      </text>
    </comment>
    <comment ref="AO56" authorId="0" shapeId="0" xr:uid="{ADF1D15D-45F2-4DAB-AD41-33B084F79CFD}">
      <text>
        <r>
          <rPr>
            <b/>
            <sz val="9"/>
            <color indexed="81"/>
            <rFont val="Tahoma"/>
            <family val="2"/>
          </rPr>
          <t>Kelvin:</t>
        </r>
        <r>
          <rPr>
            <sz val="9"/>
            <color indexed="81"/>
            <rFont val="Tahoma"/>
            <family val="2"/>
          </rPr>
          <t xml:space="preserve">
IDR 3bn forex loss, IDR31bn tower gain</t>
        </r>
      </text>
    </comment>
    <comment ref="AS58" authorId="0" shapeId="0" xr:uid="{C14B3897-CBF2-4070-9300-A36CB7741B54}">
      <text>
        <r>
          <rPr>
            <b/>
            <sz val="9"/>
            <color indexed="81"/>
            <rFont val="Tahoma"/>
            <family val="2"/>
          </rPr>
          <t>Kelvin:</t>
        </r>
        <r>
          <rPr>
            <sz val="9"/>
            <color indexed="81"/>
            <rFont val="Tahoma"/>
            <family val="2"/>
          </rPr>
          <t xml:space="preserve">
lfl excluding last year's tower sale gain</t>
        </r>
      </text>
    </comment>
    <comment ref="AK60" authorId="0" shapeId="0" xr:uid="{D87DFB26-C6EE-43C7-991E-27AA5EEA6E22}">
      <text>
        <r>
          <rPr>
            <b/>
            <sz val="9"/>
            <color indexed="81"/>
            <rFont val="Tahoma"/>
            <family val="2"/>
          </rPr>
          <t>Kelvin:</t>
        </r>
        <r>
          <rPr>
            <sz val="9"/>
            <color indexed="81"/>
            <rFont val="Tahoma"/>
            <family val="2"/>
          </rPr>
          <t xml:space="preserve">
restated 6151</t>
        </r>
      </text>
    </comment>
    <comment ref="AN60" authorId="0" shapeId="0" xr:uid="{EC627A92-1B0F-4A65-BCE0-CE1F8739C645}">
      <text>
        <r>
          <rPr>
            <b/>
            <sz val="9"/>
            <color indexed="81"/>
            <rFont val="Tahoma"/>
            <family val="2"/>
          </rPr>
          <t>Kelvin:</t>
        </r>
        <r>
          <rPr>
            <sz val="9"/>
            <color indexed="81"/>
            <rFont val="Tahoma"/>
            <family val="2"/>
          </rPr>
          <t xml:space="preserve">
restated 6224</t>
        </r>
      </text>
    </comment>
    <comment ref="AO60" authorId="0" shapeId="0" xr:uid="{BE488D4D-0E1A-4673-B9F0-22B4DBC32343}">
      <text>
        <r>
          <rPr>
            <b/>
            <sz val="9"/>
            <color indexed="81"/>
            <rFont val="Tahoma"/>
            <family val="2"/>
          </rPr>
          <t>Kelvin:</t>
        </r>
        <r>
          <rPr>
            <sz val="9"/>
            <color indexed="81"/>
            <rFont val="Tahoma"/>
            <family val="2"/>
          </rPr>
          <t xml:space="preserve">
restated in Q2 22</t>
        </r>
      </text>
    </comment>
    <comment ref="AO76" authorId="0" shapeId="0" xr:uid="{B3C0C21D-E037-4551-BA85-3594EC32E143}">
      <text>
        <r>
          <rPr>
            <b/>
            <sz val="9"/>
            <color indexed="81"/>
            <rFont val="Tahoma"/>
            <family val="2"/>
          </rPr>
          <t>Kelvin:</t>
        </r>
        <r>
          <rPr>
            <sz val="9"/>
            <color indexed="81"/>
            <rFont val="Tahoma"/>
            <family val="2"/>
          </rPr>
          <t xml:space="preserve">
did not report in Q2 22</t>
        </r>
      </text>
    </comment>
    <comment ref="AO78" authorId="0" shapeId="0" xr:uid="{9DB92285-534B-4B86-A56B-83A2E0346AA1}">
      <text>
        <r>
          <rPr>
            <b/>
            <sz val="9"/>
            <color indexed="81"/>
            <rFont val="Tahoma"/>
            <family val="2"/>
          </rPr>
          <t>Kelvin:</t>
        </r>
        <r>
          <rPr>
            <sz val="9"/>
            <color indexed="81"/>
            <rFont val="Tahoma"/>
            <family val="2"/>
          </rPr>
          <t xml:space="preserve">
Diluted due to addition of Hypernet's digital services revenue</t>
        </r>
      </text>
    </comment>
    <comment ref="AF86" authorId="1" shapeId="0" xr:uid="{537D4BBD-DFC9-4B1C-9601-06702B2B853C}">
      <text>
        <r>
          <rPr>
            <sz val="9"/>
            <color indexed="81"/>
            <rFont val="Tahoma"/>
            <family val="2"/>
          </rPr>
          <t xml:space="preserve">
pre IFRS 16 
+17.3%</t>
        </r>
      </text>
    </comment>
    <comment ref="AG86" authorId="1" shapeId="0" xr:uid="{9F75BB79-D98E-44A8-843F-35A4C2B60405}">
      <text>
        <r>
          <rPr>
            <sz val="9"/>
            <color indexed="81"/>
            <rFont val="Tahoma"/>
            <family val="2"/>
          </rPr>
          <t xml:space="preserve">
pre IFRS 16 
+13.5%</t>
        </r>
      </text>
    </comment>
    <comment ref="AH86" authorId="1" shapeId="0" xr:uid="{82ACD077-7603-4BD3-A1F3-EDEBB9E41304}">
      <text>
        <r>
          <rPr>
            <sz val="9"/>
            <color indexed="81"/>
            <rFont val="Tahoma"/>
            <family val="2"/>
          </rPr>
          <t xml:space="preserve">
pre IFRS 16 
+16.9%</t>
        </r>
      </text>
    </comment>
    <comment ref="AI86" authorId="1" shapeId="0" xr:uid="{617B17E9-5A77-408F-B0FF-53AB4089E0E1}">
      <text>
        <r>
          <rPr>
            <sz val="9"/>
            <color indexed="81"/>
            <rFont val="Tahoma"/>
            <family val="2"/>
          </rPr>
          <t xml:space="preserve">
pre IFRS 16 
-1.9%</t>
        </r>
      </text>
    </comment>
    <comment ref="AO86" authorId="0" shapeId="0" xr:uid="{2DC0CACB-0649-4A66-B3C6-22AD09207024}">
      <text>
        <r>
          <rPr>
            <b/>
            <sz val="9"/>
            <color indexed="81"/>
            <rFont val="Tahoma"/>
            <family val="2"/>
          </rPr>
          <t>Kelvin:</t>
        </r>
        <r>
          <rPr>
            <sz val="9"/>
            <color indexed="81"/>
            <rFont val="Tahoma"/>
            <family val="2"/>
          </rPr>
          <t xml:space="preserve">
Improved on lower marketing fees and labour cost</t>
        </r>
      </text>
    </comment>
    <comment ref="AR102" authorId="0" shapeId="0" xr:uid="{B58FFA43-B9EA-483A-88B1-6F71E20A6EF2}">
      <text>
        <r>
          <rPr>
            <b/>
            <sz val="9"/>
            <color indexed="81"/>
            <rFont val="Tahoma"/>
            <family val="2"/>
          </rPr>
          <t>Kelvin:</t>
        </r>
        <r>
          <rPr>
            <sz val="9"/>
            <color indexed="81"/>
            <rFont val="Tahoma"/>
            <family val="2"/>
          </rPr>
          <t xml:space="preserve">
due to enterprise projects,
higher outroaming services, and projects
from Hypernet</t>
        </r>
      </text>
    </comment>
    <comment ref="AR103" authorId="0" shapeId="0" xr:uid="{B87F39C1-2DB9-4605-91FA-89B340C22E2E}">
      <text>
        <r>
          <rPr>
            <b/>
            <sz val="9"/>
            <color indexed="81"/>
            <rFont val="Tahoma"/>
            <family val="2"/>
          </rPr>
          <t>Kelvin:</t>
        </r>
        <r>
          <rPr>
            <sz val="9"/>
            <color indexed="81"/>
            <rFont val="Tahoma"/>
            <family val="2"/>
          </rPr>
          <t xml:space="preserve">
from Hypernet acquisition in Q2 22</t>
        </r>
      </text>
    </comment>
    <comment ref="AR105" authorId="0" shapeId="0" xr:uid="{EE1A9FBE-626E-4FB9-91C3-14AC48534591}">
      <text>
        <r>
          <rPr>
            <b/>
            <sz val="9"/>
            <color indexed="81"/>
            <rFont val="Tahoma"/>
            <family val="2"/>
          </rPr>
          <t>Kelvin:</t>
        </r>
        <r>
          <rPr>
            <sz val="9"/>
            <color indexed="81"/>
            <rFont val="Tahoma"/>
            <family val="2"/>
          </rPr>
          <t xml:space="preserve">
increased due to
expansion of network rollout and additional
new sites.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Kelvin</author>
  </authors>
  <commentList>
    <comment ref="AO43" authorId="0" shapeId="0" xr:uid="{C8426C3F-BD3D-4AEF-8C70-8A29D5DB1B9A}">
      <text>
        <r>
          <rPr>
            <b/>
            <sz val="9"/>
            <color indexed="81"/>
            <rFont val="Tahoma"/>
            <family val="2"/>
          </rPr>
          <t>Kelvin:</t>
        </r>
        <r>
          <rPr>
            <sz val="9"/>
            <color indexed="81"/>
            <rFont val="Tahoma"/>
            <family val="2"/>
          </rPr>
          <t xml:space="preserve">
Investment in associate of IDR2.6tn in 1H22 </t>
        </r>
      </text>
    </comment>
    <comment ref="AO46" authorId="0" shapeId="0" xr:uid="{738A938E-6935-487F-8973-F79A59593775}">
      <text>
        <r>
          <rPr>
            <b/>
            <sz val="9"/>
            <color indexed="81"/>
            <rFont val="Tahoma"/>
            <family val="2"/>
          </rPr>
          <t>Kelvin:</t>
        </r>
        <r>
          <rPr>
            <sz val="9"/>
            <color indexed="81"/>
            <rFont val="Tahoma"/>
            <family val="2"/>
          </rPr>
          <t xml:space="preserve">
loan term long of 4.4tn in 1H22</t>
        </r>
      </text>
    </comment>
    <comment ref="AQ46" authorId="0" shapeId="0" xr:uid="{74D21653-7904-4E30-A7DE-A11FF9C6C706}">
      <text>
        <r>
          <rPr>
            <b/>
            <sz val="9"/>
            <color indexed="81"/>
            <rFont val="Tahoma"/>
            <family val="2"/>
          </rPr>
          <t>Kelvin:</t>
        </r>
        <r>
          <rPr>
            <sz val="9"/>
            <color indexed="81"/>
            <rFont val="Tahoma"/>
            <family val="2"/>
          </rPr>
          <t xml:space="preserve">
Include 5tn share issuance but repaid 4.7tn in debt as well</t>
        </r>
      </text>
    </comment>
    <comment ref="AO54" authorId="0" shapeId="0" xr:uid="{B34ACD88-25A9-480B-B28D-29728F613B3B}">
      <text>
        <r>
          <rPr>
            <b/>
            <sz val="9"/>
            <color indexed="81"/>
            <rFont val="Tahoma"/>
            <family val="2"/>
          </rPr>
          <t>Kelvin:</t>
        </r>
        <r>
          <rPr>
            <sz val="9"/>
            <color indexed="81"/>
            <rFont val="Tahoma"/>
            <family val="2"/>
          </rPr>
          <t xml:space="preserve">
Only committed capex is provided
Assumed paid capex</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Kelvin</author>
    <author>David-Mickael Lopes</author>
  </authors>
  <commentList>
    <comment ref="AN11" authorId="0" shapeId="0" xr:uid="{8B5844F9-31FD-42CA-8D98-2F943A0BFD54}">
      <text>
        <r>
          <rPr>
            <b/>
            <sz val="9"/>
            <color indexed="81"/>
            <rFont val="Tahoma"/>
            <family val="2"/>
          </rPr>
          <t>Kelvin:</t>
        </r>
        <r>
          <rPr>
            <sz val="9"/>
            <color indexed="81"/>
            <rFont val="Tahoma"/>
            <family val="2"/>
          </rPr>
          <t xml:space="preserve">
3G BTS shutdown.</t>
        </r>
      </text>
    </comment>
    <comment ref="AR11" authorId="0" shapeId="0" xr:uid="{5B9D755F-4539-4574-82AA-BBD85CFE9E64}">
      <text>
        <r>
          <rPr>
            <b/>
            <sz val="9"/>
            <color indexed="81"/>
            <rFont val="Tahoma"/>
            <family val="2"/>
          </rPr>
          <t>Kelvin:</t>
        </r>
        <r>
          <rPr>
            <sz val="9"/>
            <color indexed="81"/>
            <rFont val="Tahoma"/>
            <family val="2"/>
          </rPr>
          <t xml:space="preserve">
3G BTS shutdown.</t>
        </r>
      </text>
    </comment>
    <comment ref="AD38" authorId="1" shapeId="0" xr:uid="{00000000-0006-0000-0300-000001000000}">
      <text>
        <r>
          <rPr>
            <sz val="9"/>
            <color indexed="81"/>
            <rFont val="Tahoma"/>
            <family val="2"/>
          </rPr>
          <t xml:space="preserve">
Was flat before restatment</t>
        </r>
      </text>
    </comment>
    <comment ref="AO47" authorId="0" shapeId="0" xr:uid="{EBAF2FC8-36D8-436A-B4FB-84149ECB51F7}">
      <text>
        <r>
          <rPr>
            <b/>
            <sz val="9"/>
            <color indexed="81"/>
            <rFont val="Tahoma"/>
            <family val="2"/>
          </rPr>
          <t>Kelvin:</t>
        </r>
        <r>
          <rPr>
            <sz val="9"/>
            <color indexed="81"/>
            <rFont val="Tahoma"/>
            <family val="2"/>
          </rPr>
          <t xml:space="preserve">
increased usage during Lebaran and school holiday</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<sst xmlns="http://schemas.openxmlformats.org/spreadsheetml/2006/main" count="579" uniqueCount="440">
  <si>
    <t>Q1 16</t>
  </si>
  <si>
    <t>Q2 16</t>
  </si>
  <si>
    <t>Q3 16</t>
  </si>
  <si>
    <t>Q4 16</t>
  </si>
  <si>
    <t>EBITDA</t>
  </si>
  <si>
    <t>EBIT</t>
  </si>
  <si>
    <t>EBITDA Margin</t>
  </si>
  <si>
    <t>Subscriber Base Growth YoY</t>
  </si>
  <si>
    <t>Total Traffic Growth</t>
  </si>
  <si>
    <t>ARPU Growth</t>
  </si>
  <si>
    <t>DETAILED P&amp;L (REPORTED)</t>
  </si>
  <si>
    <t>Comments</t>
  </si>
  <si>
    <t>Income</t>
  </si>
  <si>
    <t>Non-current assets</t>
  </si>
  <si>
    <t>Property, plant and equipment</t>
  </si>
  <si>
    <t>Goodwill</t>
  </si>
  <si>
    <t>Current assets</t>
  </si>
  <si>
    <t>Other current assets</t>
  </si>
  <si>
    <t>Equity and liabilities</t>
  </si>
  <si>
    <t>Other non-current liabilities</t>
  </si>
  <si>
    <t>NSR Group Profit and Loss Analysis</t>
  </si>
  <si>
    <t>Depreciation and amortisation growth % YoY</t>
  </si>
  <si>
    <t>Implied tax rate</t>
  </si>
  <si>
    <t>NSR DOMESTIC MOBILE KPIs ANALYSIS</t>
  </si>
  <si>
    <t>Hyperlink</t>
  </si>
  <si>
    <t>Index</t>
  </si>
  <si>
    <t>1)</t>
  </si>
  <si>
    <t>2)</t>
  </si>
  <si>
    <t>3)</t>
  </si>
  <si>
    <t>4)</t>
  </si>
  <si>
    <t>5)</t>
  </si>
  <si>
    <t>6)</t>
  </si>
  <si>
    <t>7)</t>
  </si>
  <si>
    <t>8)</t>
  </si>
  <si>
    <t xml:space="preserve">New Street Research </t>
  </si>
  <si>
    <t>Reported Group Balance Sheet</t>
  </si>
  <si>
    <t>Charts Page</t>
  </si>
  <si>
    <t>KEY</t>
  </si>
  <si>
    <t>New Street Analysis</t>
  </si>
  <si>
    <t>Figures restated/ Growth rates impacted</t>
  </si>
  <si>
    <t>Intangible assets</t>
  </si>
  <si>
    <t>Total non-current assets (A)</t>
  </si>
  <si>
    <t>Cash and cash equivalents</t>
  </si>
  <si>
    <t>Total current assets (B)</t>
  </si>
  <si>
    <t>Total Assets (A+B+C)</t>
  </si>
  <si>
    <t>Equity</t>
  </si>
  <si>
    <t>Equity share capital</t>
  </si>
  <si>
    <t>Other equity</t>
  </si>
  <si>
    <t>Total equity (A)</t>
  </si>
  <si>
    <t>Non-Current Liabilities:</t>
  </si>
  <si>
    <t>Non-current borrowings</t>
  </si>
  <si>
    <t>Total Non-Current Liabilities (B)</t>
  </si>
  <si>
    <t>Current Liabilities:</t>
  </si>
  <si>
    <t>Current borrowings</t>
  </si>
  <si>
    <t xml:space="preserve">Total Current Liabilities (C) </t>
  </si>
  <si>
    <t>Total equity and liabilities (A+B+C)</t>
  </si>
  <si>
    <t>Opex</t>
  </si>
  <si>
    <t>Depreciation &amp; Amortisation</t>
  </si>
  <si>
    <t>Interest and Financing Cost (net)</t>
  </si>
  <si>
    <t>PBT</t>
  </si>
  <si>
    <t>Tax</t>
  </si>
  <si>
    <t>Net income growth Standalone (% YoY)</t>
  </si>
  <si>
    <t>Total KPIs</t>
  </si>
  <si>
    <t>QUARTERLY SHEET</t>
  </si>
  <si>
    <t>DOMESTIC MOBILE Operations</t>
  </si>
  <si>
    <t>Reported Group Highlights</t>
  </si>
  <si>
    <t>Domestic Mobile Operations</t>
  </si>
  <si>
    <t>9)</t>
  </si>
  <si>
    <t>10)</t>
  </si>
  <si>
    <t>Opex growth (% YoY)</t>
  </si>
  <si>
    <t>EBITDA growth (% YoY)</t>
  </si>
  <si>
    <t>EBITDA growth (% QoQ)</t>
  </si>
  <si>
    <t>PAT</t>
  </si>
  <si>
    <t>Service Revenues</t>
  </si>
  <si>
    <t>Other</t>
  </si>
  <si>
    <t>Discount</t>
  </si>
  <si>
    <t>Salaries and Benefits</t>
  </si>
  <si>
    <t>Sales and Marketing</t>
  </si>
  <si>
    <t>Service EBITDA margins</t>
  </si>
  <si>
    <t>Others</t>
  </si>
  <si>
    <t>Underlying Earnings</t>
  </si>
  <si>
    <t>Total Revenues (% YoY)</t>
  </si>
  <si>
    <t>Total Financials</t>
  </si>
  <si>
    <t>Growth (% YoY)</t>
  </si>
  <si>
    <t>As a % of service revenues</t>
  </si>
  <si>
    <t>YoY change in % of service revs</t>
  </si>
  <si>
    <t>Other Current Liaiblities</t>
  </si>
  <si>
    <t>Shareholder Loans</t>
  </si>
  <si>
    <t>Balance Sheet (REPORTED)</t>
  </si>
  <si>
    <t>Cash-flows</t>
  </si>
  <si>
    <t>Net cash-flow from Ops</t>
  </si>
  <si>
    <t>Net cash-flow from Investing</t>
  </si>
  <si>
    <t>FCF</t>
  </si>
  <si>
    <t>Net cash-flow from financing</t>
  </si>
  <si>
    <t>Cash B/Fwd</t>
  </si>
  <si>
    <t>FX</t>
  </si>
  <si>
    <t>Cash C/Fwd</t>
  </si>
  <si>
    <t xml:space="preserve">Net Inc/Dec </t>
  </si>
  <si>
    <t>Capitalised Capex</t>
  </si>
  <si>
    <t>Paid Capex</t>
  </si>
  <si>
    <t>Total BTS</t>
  </si>
  <si>
    <t>2G</t>
  </si>
  <si>
    <t>3G</t>
  </si>
  <si>
    <t>4G</t>
  </si>
  <si>
    <t>Number of Employees</t>
  </si>
  <si>
    <t xml:space="preserve">Coverage </t>
  </si>
  <si>
    <t>Balance Sheet</t>
  </si>
  <si>
    <t>Net Debt (Balance Sheet)</t>
  </si>
  <si>
    <t>Net Debt/ EBITDA (LTM)</t>
  </si>
  <si>
    <t>Net Debt/ EBITDA (LQA)</t>
  </si>
  <si>
    <t>Cash-flow analysis</t>
  </si>
  <si>
    <t>OpFCF growth (% YoY)</t>
  </si>
  <si>
    <t>Investing FCF growth (% YoY)</t>
  </si>
  <si>
    <t>B75A75:K78B74H76H77:K78</t>
  </si>
  <si>
    <t>Capex to service revs (%)</t>
  </si>
  <si>
    <t>Cash Capex to service revs (%)</t>
  </si>
  <si>
    <t>Annualised depreciation as % of Fixed asset</t>
  </si>
  <si>
    <t>Averaged useful life of Fas</t>
  </si>
  <si>
    <t>Volume per site/ month</t>
  </si>
  <si>
    <t>Volume per 3G/4G site/ month</t>
  </si>
  <si>
    <t>Growth YoY</t>
  </si>
  <si>
    <t>Revenue per site/month</t>
  </si>
  <si>
    <t>Revenue per 3G/4G site/month</t>
  </si>
  <si>
    <t>Subscriber/ site</t>
  </si>
  <si>
    <t>Subscriber/ 3G/4G site</t>
  </si>
  <si>
    <t>ARPU growth (% QoQ)</t>
  </si>
  <si>
    <t>Cost/employee</t>
  </si>
  <si>
    <t>Underlying earnings growth (% YoY)</t>
  </si>
  <si>
    <t>Opex as % of service revenues</t>
  </si>
  <si>
    <t>Network opex as % of sales</t>
  </si>
  <si>
    <t>Sales and marketing as % of sales</t>
  </si>
  <si>
    <t xml:space="preserve">7) </t>
  </si>
  <si>
    <t>EBITDA margin (%)</t>
  </si>
  <si>
    <t>Net Income (IDR 'bn)</t>
  </si>
  <si>
    <t>KPI's</t>
  </si>
  <si>
    <t>Subscribers ('000)</t>
  </si>
  <si>
    <t>Net Additions ('000)</t>
  </si>
  <si>
    <t>Calculated ARPU</t>
  </si>
  <si>
    <t>Total Traffic growth (% YoY)</t>
  </si>
  <si>
    <t>Total Traffic growth (% QoQ)</t>
  </si>
  <si>
    <t>Other Data Highlights</t>
  </si>
  <si>
    <t>Net debt / LQA EBITDA</t>
  </si>
  <si>
    <t>Capex as % of sales</t>
  </si>
  <si>
    <t>OpFCF (IDR 'bn)</t>
  </si>
  <si>
    <t>OpFCF</t>
  </si>
  <si>
    <t>EBITDA (IDR 'mn) and EBITDA growth (% YoY)</t>
  </si>
  <si>
    <t>Traffic per user (MB/user)</t>
  </si>
  <si>
    <t>Financials</t>
  </si>
  <si>
    <t>Other highlights</t>
  </si>
  <si>
    <t>Q1 17</t>
  </si>
  <si>
    <t>Opex Analysis</t>
  </si>
  <si>
    <t>Interconnect and roaming</t>
  </si>
  <si>
    <t>Total Traffic Growth (% QoQ)</t>
  </si>
  <si>
    <t>11)</t>
  </si>
  <si>
    <t>EBITDA (% QoQ)</t>
  </si>
  <si>
    <t>Cash capex/Depreciation</t>
  </si>
  <si>
    <t>Calculated ARPUs (IDR)</t>
  </si>
  <si>
    <t>Calculated ARPU growth (% YoY)</t>
  </si>
  <si>
    <t>Quarterly XL Axiata Historicals Model</t>
  </si>
  <si>
    <t>Q2 17</t>
  </si>
  <si>
    <t>New Street Research Key Chart</t>
  </si>
  <si>
    <t>Figures as reported by XL</t>
  </si>
  <si>
    <t>Service revenue growth (Ex-IC) (% QoQ)</t>
  </si>
  <si>
    <t>Group Service Revenue (Ex-IC) Growth YoY</t>
  </si>
  <si>
    <t>Group Service Revenue Growth (Ex-IC) QoQ</t>
  </si>
  <si>
    <t>Mobile service revenues (ex-IC) (IDR 'bn)</t>
  </si>
  <si>
    <t>Service revenue growth (ex-IC)(% YoY)</t>
  </si>
  <si>
    <t>Reported OpFCF growth (% YoY)</t>
  </si>
  <si>
    <t>Mobile Internet Subscribers</t>
  </si>
  <si>
    <t>Other data from financial statements</t>
  </si>
  <si>
    <t>Usage per customer</t>
  </si>
  <si>
    <t>Usage (% YoY)</t>
  </si>
  <si>
    <t>Comment:</t>
  </si>
  <si>
    <t>Network Opex line growth YoY as % of service revenues (PPs)</t>
  </si>
  <si>
    <t>Assisted by limited fixed product availability</t>
  </si>
  <si>
    <t>Mobile internet revenue growth (QoQ)</t>
  </si>
  <si>
    <t>Mobile internet as % of service revenues (ex-IC)</t>
  </si>
  <si>
    <t>Mobile internet as % of total revenues</t>
  </si>
  <si>
    <t>Data (Mobile intenet) revenues</t>
  </si>
  <si>
    <t>Data (Mobile internet) revenue growth (YoY)</t>
  </si>
  <si>
    <t>Non-data revenues</t>
  </si>
  <si>
    <t>Service revenues (inc. interconnect)</t>
  </si>
  <si>
    <t>Non-data revenue growth (YoY)</t>
  </si>
  <si>
    <t>Non-data revenue growth (QoQ)</t>
  </si>
  <si>
    <t>Comment: Revenues impacted by SIM registration, but now rising again</t>
  </si>
  <si>
    <t>Subscriber base now rising again post SIM registration</t>
  </si>
  <si>
    <t>ARPUs tick higher QoQ</t>
  </si>
  <si>
    <t>Implied roaming revenues</t>
  </si>
  <si>
    <t xml:space="preserve"> </t>
  </si>
  <si>
    <t>Results comments</t>
  </si>
  <si>
    <t xml:space="preserve">Marketing costs lower despite ongoing brand awareness campaigns ex-Java </t>
  </si>
  <si>
    <t>Comment: Margins rising again as industry starts to look at price increases</t>
  </si>
  <si>
    <t>Traffic/user growth reflects the strength of data demand in Indonesia.</t>
  </si>
  <si>
    <t>Data subs (using Axiata xls)</t>
  </si>
  <si>
    <t>Smartphone penetration</t>
  </si>
  <si>
    <t>Total traffic (PB)</t>
  </si>
  <si>
    <t>Quarter</t>
  </si>
  <si>
    <t>Position</t>
  </si>
  <si>
    <t>Date</t>
  </si>
  <si>
    <t>Q</t>
  </si>
  <si>
    <t>1Q12</t>
  </si>
  <si>
    <t>2Q12</t>
  </si>
  <si>
    <t>3Q12</t>
  </si>
  <si>
    <t>4Q12</t>
  </si>
  <si>
    <t>1Q13</t>
  </si>
  <si>
    <t>2Q13</t>
  </si>
  <si>
    <t>3Q13</t>
  </si>
  <si>
    <t>4Q13</t>
  </si>
  <si>
    <t>1Q14</t>
  </si>
  <si>
    <t>2Q14</t>
  </si>
  <si>
    <t>3Q14</t>
  </si>
  <si>
    <t>4Q14</t>
  </si>
  <si>
    <t>1Q15</t>
  </si>
  <si>
    <t>2Q15</t>
  </si>
  <si>
    <t>3Q15</t>
  </si>
  <si>
    <t>4Q15</t>
  </si>
  <si>
    <t>1Q16</t>
  </si>
  <si>
    <t>2Q16</t>
  </si>
  <si>
    <t>3Q16</t>
  </si>
  <si>
    <t>4Q16</t>
  </si>
  <si>
    <t>1Q17</t>
  </si>
  <si>
    <t>2Q17</t>
  </si>
  <si>
    <t>3Q17</t>
  </si>
  <si>
    <t>4Q17</t>
  </si>
  <si>
    <t>1Q18</t>
  </si>
  <si>
    <t>2Q18</t>
  </si>
  <si>
    <t>3Q18</t>
  </si>
  <si>
    <t>4Q18</t>
  </si>
  <si>
    <t>1Q19</t>
  </si>
  <si>
    <t>2Q19</t>
  </si>
  <si>
    <t>3Q19</t>
  </si>
  <si>
    <t>4Q19</t>
  </si>
  <si>
    <t>1Q20</t>
  </si>
  <si>
    <t>2Q20</t>
  </si>
  <si>
    <t>3Q20</t>
  </si>
  <si>
    <t>4Q20</t>
  </si>
  <si>
    <t>1Q21</t>
  </si>
  <si>
    <t>2Q21</t>
  </si>
  <si>
    <t>3Q21</t>
  </si>
  <si>
    <t>4Q21</t>
  </si>
  <si>
    <t>1Q22</t>
  </si>
  <si>
    <t>2Q22</t>
  </si>
  <si>
    <t>3Q22</t>
  </si>
  <si>
    <t>4Q22</t>
  </si>
  <si>
    <t>1Q23</t>
  </si>
  <si>
    <t>2Q23</t>
  </si>
  <si>
    <t>3Q23</t>
  </si>
  <si>
    <t>4Q23</t>
  </si>
  <si>
    <t>1Q24</t>
  </si>
  <si>
    <t>2Q24</t>
  </si>
  <si>
    <t>3Q24</t>
  </si>
  <si>
    <t>4Q24</t>
  </si>
  <si>
    <t>1Q25</t>
  </si>
  <si>
    <t>2Q25</t>
  </si>
  <si>
    <t>3Q25</t>
  </si>
  <si>
    <t>4Q25</t>
  </si>
  <si>
    <t>1Q26</t>
  </si>
  <si>
    <t>2Q26</t>
  </si>
  <si>
    <t>3Q26</t>
  </si>
  <si>
    <t>4Q26</t>
  </si>
  <si>
    <t>1Q27</t>
  </si>
  <si>
    <t>2Q27</t>
  </si>
  <si>
    <t>3Q27</t>
  </si>
  <si>
    <t>4Q27</t>
  </si>
  <si>
    <t>1Q28</t>
  </si>
  <si>
    <t>2Q28</t>
  </si>
  <si>
    <t>3Q28</t>
  </si>
  <si>
    <t>4Q28</t>
  </si>
  <si>
    <t>1Q29</t>
  </si>
  <si>
    <t>2Q29</t>
  </si>
  <si>
    <t>3Q29</t>
  </si>
  <si>
    <t>4Q29</t>
  </si>
  <si>
    <t>1Q30</t>
  </si>
  <si>
    <t>2Q30</t>
  </si>
  <si>
    <t>3Q30</t>
  </si>
  <si>
    <t>4Q30</t>
  </si>
  <si>
    <t>1Q31</t>
  </si>
  <si>
    <t>2Q31</t>
  </si>
  <si>
    <t>3Q31</t>
  </si>
  <si>
    <t>4Q31</t>
  </si>
  <si>
    <t>1Q32</t>
  </si>
  <si>
    <t>2Q32</t>
  </si>
  <si>
    <t>3Q32</t>
  </si>
  <si>
    <t>4Q32</t>
  </si>
  <si>
    <t>1Q33</t>
  </si>
  <si>
    <t>2Q33</t>
  </si>
  <si>
    <t>3Q33</t>
  </si>
  <si>
    <t>4Q33</t>
  </si>
  <si>
    <t>1Q34</t>
  </si>
  <si>
    <t>2Q34</t>
  </si>
  <si>
    <t>3Q34</t>
  </si>
  <si>
    <t>4Q34</t>
  </si>
  <si>
    <t>1Q35</t>
  </si>
  <si>
    <t>1Q36</t>
  </si>
  <si>
    <t>2Q35</t>
  </si>
  <si>
    <t>2Q36</t>
  </si>
  <si>
    <t>3Q35</t>
  </si>
  <si>
    <t>3Q36</t>
  </si>
  <si>
    <t>4Q35</t>
  </si>
  <si>
    <t>4Q36</t>
  </si>
  <si>
    <t>1Q37</t>
  </si>
  <si>
    <t>2Q37</t>
  </si>
  <si>
    <t>3Q37</t>
  </si>
  <si>
    <t>4Q37</t>
  </si>
  <si>
    <t>1Q38</t>
  </si>
  <si>
    <t>2Q38</t>
  </si>
  <si>
    <t>3Q38</t>
  </si>
  <si>
    <t>4Q38</t>
  </si>
  <si>
    <t>1Q39</t>
  </si>
  <si>
    <t>2Q39</t>
  </si>
  <si>
    <t>3Q39</t>
  </si>
  <si>
    <t>4Q39</t>
  </si>
  <si>
    <t>1Q40</t>
  </si>
  <si>
    <t>2Q40</t>
  </si>
  <si>
    <t>3Q40</t>
  </si>
  <si>
    <t>4Q40</t>
  </si>
  <si>
    <t>Chart update date</t>
  </si>
  <si>
    <t>Quarters</t>
  </si>
  <si>
    <t>Infrastructure Exp YoY</t>
  </si>
  <si>
    <t>Sales and Marketing %</t>
  </si>
  <si>
    <t>Infrastructure Exp %</t>
  </si>
  <si>
    <t>Interconnect %</t>
  </si>
  <si>
    <t>Salaries and Benefits %</t>
  </si>
  <si>
    <t>Overheads %</t>
  </si>
  <si>
    <t>Interconnect YoY</t>
  </si>
  <si>
    <t>Salaries and Benefits YoY</t>
  </si>
  <si>
    <t>Sales and Marketing YoY</t>
  </si>
  <si>
    <t>Overheads YoY</t>
  </si>
  <si>
    <t>Interconnect YoY %</t>
  </si>
  <si>
    <t>Salaries and Benefits YoY %</t>
  </si>
  <si>
    <t>Sales and Marketing YoY %</t>
  </si>
  <si>
    <t>Infrastructure Exp YoY %</t>
  </si>
  <si>
    <t>Overheads YoY %</t>
  </si>
  <si>
    <t>IFRS16 - LQA EBITDA</t>
  </si>
  <si>
    <t>EBITDA IFRS16</t>
  </si>
  <si>
    <t>Revs</t>
  </si>
  <si>
    <t>EBITDA pre IFRS 16</t>
  </si>
  <si>
    <t>DISCLAIMER</t>
  </si>
  <si>
    <t xml:space="preserve">This document has been communicated to its clients by New Street Research LLP in accordance with its terms and conditions. This document is confidential and should not be communicated to persons other than the clients of New Street Research LLP. </t>
  </si>
  <si>
    <t xml:space="preserve">New Street Research LLP is authorised and regulated in the conduct of its designated investment business in the United Kingdom by the Financial Conduct Authority. </t>
  </si>
  <si>
    <t>The contents of this Spreadsheet are subject to updating, completion, revision, further verification and amendment.</t>
  </si>
  <si>
    <t>The value of shares and other investments and the income derived from them may go down as well as up, and you may not get back the full amount you originally invested.</t>
  </si>
  <si>
    <t>12 month historical recommendation changes are available on request</t>
  </si>
  <si>
    <t>New Street Research LLP is authorised and regulated in the UK by the Financial Conduct Authority and is registered in the United States with the Securities and Exchange Commission as an investment adviser.  It may be distributed in the United States by New Street Research LLC which is a partner of New Street Research LLP.</t>
  </si>
  <si>
    <t>Regulatory Disclosures: This research is directed only at persons classified as Professional Clients under the rules of the Financial Conduct Authority (‘FCA’), and must not be re-distributed to Retail Clients as defined in the rules of the FCA.</t>
  </si>
  <si>
    <t>This research is for our clients only. It is based on current public information which we consider reliable, but we do not represent that it is accurate or complete, and it should not be relied on as such. We seek to update our research as appropriate, but various regulations may prevent us from doing so. Most of our reports are published at irregular intervals as appropriate in the analyst's judgment.</t>
  </si>
  <si>
    <t>This research is not an offer to sell or the solicitation of an offer to buy any security in any jurisdiction where such an offer or solicitation would be illegal. It does not constitute a personal recommendation or take into account the particular investment objectives, financial situations, or needs of individual clients. </t>
  </si>
  <si>
    <t>All our research reports are disseminated and available to all clients simultaneously through electronic publication to our website. </t>
  </si>
  <si>
    <t>No part of this material may be copied, photocopied or duplicated in any form by any means or redistributed without the prior written consent of New Street Research LLP.</t>
  </si>
  <si>
    <t>YoY</t>
  </si>
  <si>
    <t>Costs ex IFRS 16</t>
  </si>
  <si>
    <t>QoQ</t>
  </si>
  <si>
    <t>NSRe</t>
  </si>
  <si>
    <t>Rev g</t>
  </si>
  <si>
    <t>EBITDA m</t>
  </si>
  <si>
    <t>Capex</t>
  </si>
  <si>
    <t>Consensus</t>
  </si>
  <si>
    <t>Rev</t>
  </si>
  <si>
    <t>SR</t>
  </si>
  <si>
    <t>SR g</t>
  </si>
  <si>
    <t>Interconnect and Other Direct Expenses</t>
  </si>
  <si>
    <t>Infrastructure</t>
  </si>
  <si>
    <t>Supplies and Overhead</t>
  </si>
  <si>
    <t>Forex gain/(loss)</t>
  </si>
  <si>
    <t>Post-Paid ('000)</t>
  </si>
  <si>
    <t>Pre-paid Subs ('000)</t>
  </si>
  <si>
    <t>Subscriber Base (EoP) ('000)</t>
  </si>
  <si>
    <t>Prepaid (IDR k)</t>
  </si>
  <si>
    <t>Postpaid (IDR k)</t>
  </si>
  <si>
    <t>Average Revenue per User (ARPU) Blended (IDR)</t>
  </si>
  <si>
    <t>Net subscriber Additions ('000)</t>
  </si>
  <si>
    <t>Average Subscriber Numbers ('000)</t>
  </si>
  <si>
    <t>IDR bn</t>
  </si>
  <si>
    <t>Total Traffic Volume (PB)</t>
  </si>
  <si>
    <t>Improving</t>
  </si>
  <si>
    <t>4G subscribers %</t>
  </si>
  <si>
    <t>Source</t>
  </si>
  <si>
    <t>Presentation</t>
  </si>
  <si>
    <t>Financials &gt; Cash flow &gt;Acquisition of fixed assets</t>
  </si>
  <si>
    <t>Data and Digital Services</t>
  </si>
  <si>
    <t xml:space="preserve">Presentation </t>
  </si>
  <si>
    <t>Net revenues</t>
  </si>
  <si>
    <t>Gross revenues</t>
  </si>
  <si>
    <t>Net adds</t>
  </si>
  <si>
    <t>Lease liabilities + LT loans + Sukuk ijarah + Bonds payable</t>
  </si>
  <si>
    <t>Lease liabilities + Loans + Sukuk ijarah + bonds payable</t>
  </si>
  <si>
    <t>Increased utilisation again</t>
  </si>
  <si>
    <t>Service revenue (inc. IC)</t>
  </si>
  <si>
    <t>Interconnect and others</t>
  </si>
  <si>
    <t>Financials, net of discount</t>
  </si>
  <si>
    <t>Total Opex YoY</t>
  </si>
  <si>
    <t>3G shutdown progress</t>
  </si>
  <si>
    <t>Postpaid ARPU growth</t>
  </si>
  <si>
    <t>Prepaid ARPU growth</t>
  </si>
  <si>
    <t>Hypernet</t>
  </si>
  <si>
    <t>Data and digital services1</t>
  </si>
  <si>
    <t>Voice and SMS</t>
  </si>
  <si>
    <t>IC</t>
  </si>
  <si>
    <t>MSR</t>
  </si>
  <si>
    <t>MSR ex IC</t>
  </si>
  <si>
    <t>Total revenue</t>
  </si>
  <si>
    <t>MSR (net of discounts)</t>
  </si>
  <si>
    <t>Net revenue</t>
  </si>
  <si>
    <t>Service revenue  (IDR bn vs. YoY growth)</t>
  </si>
  <si>
    <t>© 2023 New Street Research LLP. All rights reserved.</t>
  </si>
  <si>
    <t>This report was produced by New Street Research LLP | 100 Bishopsgate, 18th Floor |London EC2M 1GT| T:+44 20 7375 9140</t>
  </si>
  <si>
    <t>© Copyright 2023 New Street Research LLP</t>
  </si>
  <si>
    <t>Shares outstanding (m)</t>
  </si>
  <si>
    <t>Managed and information technology services</t>
  </si>
  <si>
    <t xml:space="preserve">Fixed broadband </t>
  </si>
  <si>
    <t>XL home subscribers ('000)</t>
  </si>
  <si>
    <t>Net additions/(loss)</t>
  </si>
  <si>
    <t>Fixed mobile convergence penetration (%)</t>
  </si>
  <si>
    <t>Change in penetration</t>
  </si>
  <si>
    <t xml:space="preserve">Implied XL Satu subscribers (FMC product) </t>
  </si>
  <si>
    <t>IC and other telecommunication services</t>
  </si>
  <si>
    <t>Mobile + IC - discounts</t>
  </si>
  <si>
    <t>(-) Discount</t>
  </si>
  <si>
    <t>Opex:</t>
  </si>
  <si>
    <t>Service revenue breakdown:</t>
  </si>
  <si>
    <t>MSR ex IC ex discounts</t>
  </si>
  <si>
    <t>Implied service revenue</t>
  </si>
  <si>
    <t>Voice, SMS and other telco services</t>
  </si>
  <si>
    <t>Revenue (reported in FS)</t>
  </si>
  <si>
    <t>Revenue as presented</t>
  </si>
  <si>
    <t>Data and digital services, voice and SMS and Managed Info</t>
  </si>
  <si>
    <t>Check</t>
  </si>
  <si>
    <t>YoY change in margins</t>
  </si>
  <si>
    <t>Share capital + additional paid-in capital</t>
  </si>
  <si>
    <t>Fibre</t>
  </si>
  <si>
    <t>FMC product (Mobile + Fibre)</t>
  </si>
  <si>
    <t>Target 8tn for FY24 (same as FY23)</t>
  </si>
  <si>
    <t xml:space="preserve">FY24 guidance: c.50% </t>
  </si>
  <si>
    <t>FY24 guidance: High single digit</t>
  </si>
  <si>
    <t>Acquired Hipernet</t>
  </si>
  <si>
    <t>ARPU</t>
  </si>
  <si>
    <t>Subs</t>
  </si>
  <si>
    <t>revenue from data, digital content, home broadband and monthly service charges that are performed through postpaid scheme</t>
  </si>
  <si>
    <r>
      <rPr>
        <b/>
        <u/>
        <sz val="14"/>
        <color theme="1"/>
        <rFont val="Roboto"/>
      </rPr>
      <t>XL Axiata – Q4 23 Quick Take: Guidance is a positive read for Indonesian mobile; migration of Link Net’s 750k FBB customers expected to complete by 1H24</t>
    </r>
    <r>
      <rPr>
        <sz val="14"/>
        <color theme="1"/>
        <rFont val="Roboto"/>
      </rPr>
      <t xml:space="preserve">
What’s new: XL reported results yesterday, with topline and EBITDA ahead. Mobile ARPU continue to trend well, with prepaid improving while postpaid decline eased further. For the year, the company guided HSD growth for revenue suggesting that the Indonesia mobile sector is clearly in repair mode. For XL specifically, our sense is that the merger with Smartfren is more likely than in the past. Our thoughts below.
Key takeaways: FY24 guidance: High single digit revenue growth, 50% EBITDA margin and IDR 8tn capex (flat).
Data and Digital services revenue came in 3% ahead and improved to +12.3% YoY (Q1: 11%, Q2: 12.9%, Q3: 6.8%), driven by momentum in data growth and better ARPU trend. Mobile service revenue (ex-IC, post discount) continues to trend ahead of industry, up by 11.6% YoY (Q1: 10.6%, Q2: 12.5% Q3: 6.4%) on better prepaid ARPU growth. Meanwhile, EBITDA outperformed consensus by 2.3%, up by 7.1% YoY (Q1: 12.9%, Q2: 14.3%, Q3: 12.6%) on lower labour costs and slower growth in marketing expenses. For the full year, revenue was up 10.9% YoY while EBITDA grew 11.6%; margin improved by 3pp to 49.1%. 
</t>
    </r>
    <r>
      <rPr>
        <b/>
        <sz val="14"/>
        <color theme="1"/>
        <rFont val="Roboto"/>
      </rPr>
      <t>KPIs</t>
    </r>
    <r>
      <rPr>
        <sz val="14"/>
        <color theme="1"/>
        <rFont val="Roboto"/>
      </rPr>
      <t xml:space="preserve">: Mobile ARPU trend remains encouraging as it crossed the 43k mark in Q4. Blended ARPU growth improved to +7.5% from 5% on better prepaid growth and lower decline in postpaid ARPU. Subscribers figure remained unchanged at 57.5m. The company’s FBB product, XL home, added 29k subscribers to reach 235k. Within this, its FMC product, XL Satu, saw penetration rise to 75% from 37% last year. Although funding is a concern, XL is targeting 8.4m homes passed by 2026 from 3.2m in its FMC strategy to capture the FBB market. The delayering of Link Net into FiberCo while XL becomes the ServeCo, is expected to complete by 1H24. Through this, XL will migrate Link Net’s 750k fixed subscribers to reach c.1m FBB subscribers, said to be Indonesia’s second largest FBB player.
</t>
    </r>
  </si>
  <si>
    <r>
      <rPr>
        <b/>
        <sz val="14"/>
        <color theme="1"/>
        <rFont val="Roboto"/>
      </rPr>
      <t>Conclusion</t>
    </r>
    <r>
      <rPr>
        <sz val="14"/>
        <color theme="1"/>
        <rFont val="Roboto"/>
      </rPr>
      <t xml:space="preserve">
FY24 guidance was a positive read for the Indonesian sector as a whole – mobile ARPU is expected to trend well on the benign dynamic. As with the past, we think the election is unlikely to pose any threat to the ARPU recovery story. Specific to XL, we think a deal with Smartfren would also make a lot of sense and improve further the competitive environment in the medium/long term. As the 3rd player XL’s Buy case is more dependent on market repair than either PT Telkom or IOH, but confidence that the market will continue to be rational underpins our Buy recommendation and IDR 5,000 price target.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</si>
</sst>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_(* #,##0.00_);_(* \(#,##0.00\);_(* &quot;-&quot;??_);_(@_)"/>
    <numFmt numFmtId="165" formatCode="_-* #,##0_-;\-* #,##0_-;_-* &quot;-&quot;??_-;_-@_-"/>
    <numFmt numFmtId="166" formatCode="0.0%"/>
    <numFmt numFmtId="167" formatCode="_-* #,##0.0_-;\-* #,##0.0_-;_-* &quot;-&quot;??_-;_-@_-"/>
    <numFmt numFmtId="168" formatCode="_([$€-2]* #,##0.00_);_([$€-2]* \(#,##0.00\);_([$€-2]* &quot;-&quot;??_)"/>
    <numFmt numFmtId="169" formatCode="_(* #,##0_);_(* \(#,##0\);_(* &quot;-&quot;??_);_(@_)"/>
    <numFmt numFmtId="170" formatCode="[$$-1009]#,##0"/>
    <numFmt numFmtId="171" formatCode="_-* #,##0_-;* \(#,##0\)_-;_-* &quot;-&quot;??_-;_-@_-"/>
    <numFmt numFmtId="172" formatCode="_-* #,##0.0\x_-;* \(#,##0.0\x\)_-;_-* &quot;-&quot;??_-;_-@_-"/>
    <numFmt numFmtId="173" formatCode="#,##0.0;\-#,##0.0"/>
    <numFmt numFmtId="174" formatCode="0.0%_);\(0.0%\);0.0%_);@_)"/>
    <numFmt numFmtId="175" formatCode="0.0"/>
    <numFmt numFmtId="176" formatCode="_-* #,##0.0000_-;* \(#,##0.0000\)_-;_-* &quot;-&quot;??_-;_-@_-"/>
    <numFmt numFmtId="177" formatCode="_-* #,##0.000_-;\-* #,##0.000_-;_-* &quot;-&quot;???_-;_-@_-"/>
  </numFmts>
  <fonts count="58" x14ac:knownFonts="1">
    <font>
      <sz val="11"/>
      <color theme="1"/>
      <name val="Calibri"/>
      <family val="2"/>
      <scheme val="minor"/>
    </font>
    <font>
      <sz val="11"/>
      <color theme="1"/>
      <name val="Calibri"/>
      <family val="2"/>
      <scheme val="minor"/>
    </font>
    <font>
      <b/>
      <sz val="12"/>
      <color theme="0"/>
      <name val="Trebuchet MS"/>
      <family val="2"/>
    </font>
    <font>
      <sz val="12"/>
      <color theme="1"/>
      <name val="Trebuchet MS"/>
      <family val="2"/>
    </font>
    <font>
      <sz val="8"/>
      <name val="Arial"/>
      <family val="2"/>
    </font>
    <font>
      <sz val="10"/>
      <name val="Arial"/>
      <family val="2"/>
    </font>
    <font>
      <sz val="10"/>
      <name val="Trebuchet MS"/>
      <family val="2"/>
    </font>
    <font>
      <u/>
      <sz val="11"/>
      <color theme="10"/>
      <name val="Calibri"/>
      <family val="2"/>
      <scheme val="minor"/>
    </font>
    <font>
      <sz val="12"/>
      <color theme="10"/>
      <name val="Trebuchet MS"/>
      <family val="2"/>
    </font>
    <font>
      <sz val="9"/>
      <color indexed="81"/>
      <name val="Tahoma"/>
      <family val="2"/>
    </font>
    <font>
      <b/>
      <sz val="9"/>
      <color indexed="81"/>
      <name val="Tahoma"/>
      <family val="2"/>
    </font>
    <font>
      <b/>
      <sz val="11"/>
      <color theme="1"/>
      <name val="Calibri"/>
      <family val="2"/>
      <scheme val="minor"/>
    </font>
    <font>
      <b/>
      <sz val="11"/>
      <name val="Calibri"/>
      <family val="2"/>
      <scheme val="minor"/>
    </font>
    <font>
      <sz val="11"/>
      <name val="Calibri"/>
      <family val="2"/>
      <scheme val="minor"/>
    </font>
    <font>
      <sz val="11"/>
      <color rgb="FF0000FF"/>
      <name val="Calibri"/>
      <family val="2"/>
      <scheme val="minor"/>
    </font>
    <font>
      <sz val="8"/>
      <name val="Calibri"/>
      <family val="2"/>
      <scheme val="minor"/>
    </font>
    <font>
      <sz val="11"/>
      <color indexed="81"/>
      <name val="Tahoma"/>
      <family val="2"/>
    </font>
    <font>
      <b/>
      <sz val="10"/>
      <color theme="1"/>
      <name val="Roboto"/>
    </font>
    <font>
      <b/>
      <sz val="10"/>
      <name val="Roboto"/>
    </font>
    <font>
      <sz val="10"/>
      <color theme="1"/>
      <name val="Roboto"/>
    </font>
    <font>
      <sz val="10"/>
      <name val="Roboto"/>
    </font>
    <font>
      <i/>
      <sz val="10"/>
      <color theme="1"/>
      <name val="Roboto"/>
    </font>
    <font>
      <i/>
      <sz val="10"/>
      <name val="Roboto"/>
    </font>
    <font>
      <b/>
      <i/>
      <sz val="10"/>
      <color theme="1"/>
      <name val="Roboto"/>
    </font>
    <font>
      <b/>
      <sz val="10"/>
      <color theme="0"/>
      <name val="Roboto"/>
    </font>
    <font>
      <b/>
      <sz val="10"/>
      <color rgb="FF0000FF"/>
      <name val="Roboto"/>
    </font>
    <font>
      <sz val="10"/>
      <color rgb="FF0000FF"/>
      <name val="Roboto"/>
    </font>
    <font>
      <sz val="10"/>
      <color theme="0"/>
      <name val="Roboto"/>
    </font>
    <font>
      <i/>
      <sz val="10"/>
      <color rgb="FF0000FF"/>
      <name val="Roboto"/>
    </font>
    <font>
      <b/>
      <sz val="10"/>
      <color theme="9"/>
      <name val="Roboto"/>
    </font>
    <font>
      <b/>
      <sz val="10"/>
      <color theme="0" tint="-4.9989318521683403E-2"/>
      <name val="Roboto"/>
    </font>
    <font>
      <sz val="9"/>
      <name val="Arial"/>
      <family val="2"/>
    </font>
    <font>
      <b/>
      <sz val="10"/>
      <color rgb="FFFFFFFF"/>
      <name val="Roboto"/>
    </font>
    <font>
      <sz val="10"/>
      <color rgb="FFFFFFFF"/>
      <name val="Roboto"/>
    </font>
    <font>
      <sz val="9"/>
      <name val="Roboto"/>
    </font>
    <font>
      <b/>
      <sz val="12"/>
      <color rgb="FFFFFFFF"/>
      <name val="Roboto"/>
    </font>
    <font>
      <b/>
      <sz val="8"/>
      <color rgb="FFFFFFFF"/>
      <name val="Roboto"/>
    </font>
    <font>
      <b/>
      <sz val="10"/>
      <color indexed="48"/>
      <name val="Roboto"/>
    </font>
    <font>
      <sz val="10"/>
      <color indexed="48"/>
      <name val="Roboto"/>
    </font>
    <font>
      <sz val="8"/>
      <name val="Roboto"/>
    </font>
    <font>
      <b/>
      <sz val="8"/>
      <name val="Roboto"/>
    </font>
    <font>
      <b/>
      <sz val="10"/>
      <color rgb="FF000000"/>
      <name val="Roboto"/>
    </font>
    <font>
      <sz val="10"/>
      <color rgb="FF000000"/>
      <name val="Roboto"/>
    </font>
    <font>
      <sz val="10"/>
      <color indexed="52"/>
      <name val="Roboto"/>
    </font>
    <font>
      <sz val="10"/>
      <color indexed="9"/>
      <name val="Roboto"/>
    </font>
    <font>
      <b/>
      <sz val="16"/>
      <color theme="0"/>
      <name val="Roboto"/>
    </font>
    <font>
      <b/>
      <sz val="12"/>
      <color theme="0"/>
      <name val="Roboto"/>
    </font>
    <font>
      <sz val="12"/>
      <color theme="1"/>
      <name val="Roboto"/>
    </font>
    <font>
      <u/>
      <sz val="11"/>
      <color theme="10"/>
      <name val="Roboto"/>
    </font>
    <font>
      <b/>
      <u/>
      <sz val="12"/>
      <color theme="1"/>
      <name val="Roboto"/>
    </font>
    <font>
      <u/>
      <sz val="12"/>
      <color theme="1"/>
      <name val="Roboto"/>
    </font>
    <font>
      <b/>
      <sz val="12"/>
      <color theme="1"/>
      <name val="Roboto"/>
    </font>
    <font>
      <sz val="14"/>
      <color theme="1"/>
      <name val="Roboto"/>
    </font>
    <font>
      <b/>
      <u/>
      <sz val="14"/>
      <color theme="1"/>
      <name val="Roboto"/>
    </font>
    <font>
      <b/>
      <sz val="14"/>
      <color theme="1"/>
      <name val="Roboto"/>
    </font>
    <font>
      <b/>
      <sz val="10"/>
      <color rgb="FFC00000"/>
      <name val="Roboto"/>
    </font>
    <font>
      <sz val="10"/>
      <color rgb="FFC00000"/>
      <name val="Roboto"/>
    </font>
    <font>
      <i/>
      <sz val="10"/>
      <color rgb="FFC00000"/>
      <name val="Roboto"/>
    </font>
  </fonts>
  <fills count="12">
    <fill>
      <patternFill patternType="none"/>
    </fill>
    <fill>
      <patternFill patternType="gray125"/>
    </fill>
    <fill>
      <patternFill patternType="solid">
        <fgColor theme="8"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263238"/>
        <bgColor rgb="FF000000"/>
      </patternFill>
    </fill>
  </fills>
  <borders count="6">
    <border>
      <left/>
      <right/>
      <top/>
      <bottom/>
      <diagonal/>
    </border>
    <border>
      <left/>
      <right/>
      <top/>
      <bottom style="thin">
        <color indexed="64"/>
      </bottom>
      <diagonal/>
    </border>
    <border>
      <left/>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s>
  <cellStyleXfs count="23">
    <xf numFmtId="0" fontId="0" fillId="0" borderId="0"/>
    <xf numFmtId="43" fontId="1" fillId="0" borderId="0" applyFont="0" applyFill="0" applyBorder="0" applyAlignment="0" applyProtection="0"/>
    <xf numFmtId="9" fontId="1" fillId="0" borderId="0" applyFont="0" applyFill="0" applyBorder="0" applyAlignment="0" applyProtection="0"/>
    <xf numFmtId="168" fontId="1" fillId="0" borderId="0"/>
    <xf numFmtId="0" fontId="4" fillId="0" borderId="0"/>
    <xf numFmtId="168" fontId="5" fillId="0" borderId="0"/>
    <xf numFmtId="164" fontId="1" fillId="0" borderId="0" applyFont="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8" fontId="5" fillId="0" borderId="0"/>
    <xf numFmtId="168" fontId="4" fillId="0" borderId="0"/>
    <xf numFmtId="0" fontId="4" fillId="0" borderId="0"/>
    <xf numFmtId="0" fontId="7" fillId="0" borderId="0" applyNumberFormat="0" applyFill="0" applyBorder="0" applyAlignment="0" applyProtection="0"/>
    <xf numFmtId="0" fontId="6" fillId="0" borderId="0"/>
    <xf numFmtId="0" fontId="6" fillId="0" borderId="0"/>
    <xf numFmtId="0" fontId="1" fillId="0" borderId="0"/>
    <xf numFmtId="0" fontId="5" fillId="0" borderId="0"/>
    <xf numFmtId="9" fontId="5" fillId="0" borderId="0" applyFont="0" applyFill="0" applyBorder="0" applyAlignment="0" applyProtection="0"/>
    <xf numFmtId="0" fontId="31" fillId="0" borderId="0"/>
    <xf numFmtId="0" fontId="6" fillId="0" borderId="0"/>
    <xf numFmtId="43" fontId="6" fillId="0" borderId="0" applyFont="0" applyFill="0" applyBorder="0" applyAlignment="0" applyProtection="0"/>
    <xf numFmtId="9" fontId="5" fillId="0" borderId="0" applyFont="0" applyFill="0" applyBorder="0" applyAlignment="0" applyProtection="0"/>
  </cellStyleXfs>
  <cellXfs count="416">
    <xf numFmtId="0" fontId="0" fillId="0" borderId="0" xfId="0"/>
    <xf numFmtId="0" fontId="2" fillId="2" borderId="0" xfId="0" applyFont="1" applyFill="1"/>
    <xf numFmtId="0" fontId="3" fillId="0" borderId="0" xfId="0" applyFont="1"/>
    <xf numFmtId="0" fontId="3" fillId="5" borderId="0" xfId="0" applyFont="1" applyFill="1"/>
    <xf numFmtId="0" fontId="8" fillId="5" borderId="0" xfId="13" applyFont="1" applyFill="1"/>
    <xf numFmtId="0" fontId="3" fillId="5" borderId="0" xfId="0" quotePrefix="1" applyFont="1" applyFill="1"/>
    <xf numFmtId="0" fontId="7" fillId="5" borderId="0" xfId="13" applyFill="1"/>
    <xf numFmtId="0" fontId="2" fillId="5" borderId="0" xfId="0" applyFont="1" applyFill="1"/>
    <xf numFmtId="0" fontId="12" fillId="0" borderId="0" xfId="0" applyFont="1" applyAlignment="1">
      <alignment horizontal="left"/>
    </xf>
    <xf numFmtId="0" fontId="12" fillId="0" borderId="0" xfId="0" applyFont="1" applyAlignment="1">
      <alignment horizontal="center"/>
    </xf>
    <xf numFmtId="0" fontId="11" fillId="0" borderId="0" xfId="0" applyFont="1" applyAlignment="1">
      <alignment horizontal="center"/>
    </xf>
    <xf numFmtId="0" fontId="0" fillId="0" borderId="0" xfId="0" applyAlignment="1">
      <alignment horizontal="center"/>
    </xf>
    <xf numFmtId="0" fontId="13" fillId="0" borderId="0" xfId="0" applyFont="1" applyAlignment="1">
      <alignment horizontal="left"/>
    </xf>
    <xf numFmtId="0" fontId="13" fillId="0" borderId="0" xfId="0" applyFont="1" applyAlignment="1">
      <alignment horizontal="center"/>
    </xf>
    <xf numFmtId="14" fontId="13" fillId="0" borderId="0" xfId="0" applyNumberFormat="1" applyFont="1" applyAlignment="1">
      <alignment horizontal="center"/>
    </xf>
    <xf numFmtId="0" fontId="14" fillId="0" borderId="0" xfId="0" applyFont="1" applyAlignment="1">
      <alignment horizontal="center"/>
    </xf>
    <xf numFmtId="14" fontId="0" fillId="0" borderId="0" xfId="0" applyNumberFormat="1" applyAlignment="1">
      <alignment horizontal="center"/>
    </xf>
    <xf numFmtId="0" fontId="3" fillId="5" borderId="0" xfId="0" applyFont="1" applyFill="1" applyAlignment="1">
      <alignment horizontal="left"/>
    </xf>
    <xf numFmtId="0" fontId="3" fillId="7" borderId="4" xfId="0" applyFont="1" applyFill="1" applyBorder="1" applyAlignment="1">
      <alignment horizontal="center"/>
    </xf>
    <xf numFmtId="0" fontId="3" fillId="5" borderId="0" xfId="0" applyFont="1" applyFill="1" applyAlignment="1">
      <alignment horizontal="center"/>
    </xf>
    <xf numFmtId="0" fontId="3" fillId="8" borderId="4" xfId="0" applyFont="1" applyFill="1" applyBorder="1" applyAlignment="1">
      <alignment horizontal="center"/>
    </xf>
    <xf numFmtId="0" fontId="3" fillId="7" borderId="0" xfId="0" applyFont="1" applyFill="1" applyAlignment="1">
      <alignment horizontal="right"/>
    </xf>
    <xf numFmtId="37" fontId="3" fillId="5" borderId="0" xfId="0" applyNumberFormat="1" applyFont="1" applyFill="1" applyAlignment="1">
      <alignment horizontal="center"/>
    </xf>
    <xf numFmtId="9" fontId="3" fillId="5" borderId="0" xfId="0" applyNumberFormat="1" applyFont="1" applyFill="1" applyAlignment="1">
      <alignment horizontal="center"/>
    </xf>
    <xf numFmtId="173" fontId="3" fillId="5" borderId="0" xfId="0" applyNumberFormat="1" applyFont="1" applyFill="1" applyAlignment="1">
      <alignment horizontal="center"/>
    </xf>
    <xf numFmtId="9" fontId="0" fillId="0" borderId="0" xfId="0" applyNumberFormat="1"/>
    <xf numFmtId="10" fontId="0" fillId="0" borderId="0" xfId="0" applyNumberFormat="1"/>
    <xf numFmtId="3" fontId="0" fillId="0" borderId="0" xfId="0" applyNumberFormat="1"/>
    <xf numFmtId="0" fontId="11" fillId="0" borderId="0" xfId="0" applyFont="1"/>
    <xf numFmtId="0" fontId="11" fillId="8" borderId="0" xfId="0" applyFont="1" applyFill="1"/>
    <xf numFmtId="0" fontId="0" fillId="8" borderId="0" xfId="0" applyFill="1"/>
    <xf numFmtId="0" fontId="11" fillId="6" borderId="0" xfId="0" applyFont="1" applyFill="1"/>
    <xf numFmtId="0" fontId="0" fillId="6" borderId="0" xfId="0" applyFill="1"/>
    <xf numFmtId="0" fontId="17" fillId="4" borderId="0" xfId="0" applyFont="1" applyFill="1"/>
    <xf numFmtId="0" fontId="17" fillId="4" borderId="0" xfId="0" applyFont="1" applyFill="1" applyAlignment="1">
      <alignment horizontal="right"/>
    </xf>
    <xf numFmtId="166" fontId="17" fillId="0" borderId="0" xfId="2" applyNumberFormat="1" applyFont="1" applyFill="1" applyBorder="1"/>
    <xf numFmtId="0" fontId="17" fillId="0" borderId="0" xfId="0" applyFont="1"/>
    <xf numFmtId="0" fontId="18" fillId="0" borderId="0" xfId="3" applyNumberFormat="1" applyFont="1" applyAlignment="1">
      <alignment horizontal="left"/>
    </xf>
    <xf numFmtId="17" fontId="18" fillId="0" borderId="0" xfId="4" quotePrefix="1" applyNumberFormat="1" applyFont="1" applyAlignment="1">
      <alignment horizontal="right" vertical="center"/>
    </xf>
    <xf numFmtId="0" fontId="18" fillId="0" borderId="0" xfId="4" applyFont="1" applyAlignment="1">
      <alignment horizontal="right" vertical="center"/>
    </xf>
    <xf numFmtId="0" fontId="18" fillId="0" borderId="0" xfId="3" quotePrefix="1" applyNumberFormat="1" applyFont="1" applyAlignment="1">
      <alignment horizontal="right" vertical="center" wrapText="1"/>
    </xf>
    <xf numFmtId="168" fontId="18" fillId="0" borderId="0" xfId="5" applyFont="1" applyAlignment="1">
      <alignment horizontal="right"/>
    </xf>
    <xf numFmtId="0" fontId="18" fillId="0" borderId="0" xfId="4" quotePrefix="1" applyFont="1" applyAlignment="1">
      <alignment horizontal="right" vertical="center"/>
    </xf>
    <xf numFmtId="0" fontId="19" fillId="0" borderId="0" xfId="0" applyFont="1"/>
    <xf numFmtId="166" fontId="19" fillId="0" borderId="0" xfId="2" applyNumberFormat="1" applyFont="1" applyFill="1" applyBorder="1"/>
    <xf numFmtId="169" fontId="18" fillId="0" borderId="0" xfId="9" applyNumberFormat="1" applyFont="1" applyFill="1" applyBorder="1" applyAlignment="1">
      <alignment horizontal="left"/>
    </xf>
    <xf numFmtId="171" fontId="17" fillId="0" borderId="0" xfId="1" applyNumberFormat="1" applyFont="1" applyFill="1" applyBorder="1" applyAlignment="1">
      <alignment horizontal="right" vertical="center"/>
    </xf>
    <xf numFmtId="166" fontId="19" fillId="0" borderId="0" xfId="0" applyNumberFormat="1" applyFont="1"/>
    <xf numFmtId="169" fontId="20" fillId="0" borderId="0" xfId="9" applyNumberFormat="1" applyFont="1" applyFill="1" applyBorder="1" applyAlignment="1">
      <alignment horizontal="left"/>
    </xf>
    <xf numFmtId="171" fontId="19" fillId="0" borderId="0" xfId="1" applyNumberFormat="1" applyFont="1" applyFill="1" applyBorder="1" applyAlignment="1">
      <alignment horizontal="right" vertical="center"/>
    </xf>
    <xf numFmtId="169" fontId="20" fillId="0" borderId="1" xfId="9" applyNumberFormat="1" applyFont="1" applyFill="1" applyBorder="1" applyAlignment="1">
      <alignment horizontal="left"/>
    </xf>
    <xf numFmtId="171" fontId="19" fillId="0" borderId="0" xfId="0" applyNumberFormat="1" applyFont="1"/>
    <xf numFmtId="169" fontId="18" fillId="9" borderId="0" xfId="9" applyNumberFormat="1" applyFont="1" applyFill="1" applyBorder="1" applyAlignment="1">
      <alignment horizontal="left"/>
    </xf>
    <xf numFmtId="171" fontId="17" fillId="9" borderId="0" xfId="1" applyNumberFormat="1" applyFont="1" applyFill="1" applyBorder="1" applyAlignment="1">
      <alignment horizontal="right" vertical="center"/>
    </xf>
    <xf numFmtId="171" fontId="20" fillId="0" borderId="0" xfId="9" applyNumberFormat="1" applyFont="1" applyFill="1" applyBorder="1" applyAlignment="1">
      <alignment horizontal="left"/>
    </xf>
    <xf numFmtId="171" fontId="18" fillId="0" borderId="0" xfId="9" applyNumberFormat="1" applyFont="1" applyFill="1" applyBorder="1" applyAlignment="1">
      <alignment horizontal="left"/>
    </xf>
    <xf numFmtId="171" fontId="19" fillId="0" borderId="0" xfId="2" applyNumberFormat="1" applyFont="1" applyFill="1" applyBorder="1"/>
    <xf numFmtId="169" fontId="18" fillId="0" borderId="2" xfId="9" applyNumberFormat="1" applyFont="1" applyFill="1" applyBorder="1" applyAlignment="1">
      <alignment horizontal="left"/>
    </xf>
    <xf numFmtId="171" fontId="17" fillId="0" borderId="2" xfId="1" applyNumberFormat="1" applyFont="1" applyFill="1" applyBorder="1" applyAlignment="1">
      <alignment horizontal="right" vertical="center"/>
    </xf>
    <xf numFmtId="169" fontId="18" fillId="9" borderId="2" xfId="9" applyNumberFormat="1" applyFont="1" applyFill="1" applyBorder="1" applyAlignment="1">
      <alignment horizontal="left"/>
    </xf>
    <xf numFmtId="171" fontId="17" fillId="9" borderId="2" xfId="1" applyNumberFormat="1" applyFont="1" applyFill="1" applyBorder="1" applyAlignment="1">
      <alignment horizontal="right" vertical="center"/>
    </xf>
    <xf numFmtId="171" fontId="17" fillId="0" borderId="0" xfId="0" applyNumberFormat="1" applyFont="1"/>
    <xf numFmtId="171" fontId="20" fillId="0" borderId="1" xfId="1" applyNumberFormat="1" applyFont="1" applyFill="1" applyBorder="1" applyAlignment="1">
      <alignment horizontal="right" vertical="center"/>
    </xf>
    <xf numFmtId="171" fontId="20" fillId="6" borderId="1" xfId="1" applyNumberFormat="1" applyFont="1" applyFill="1" applyBorder="1" applyAlignment="1">
      <alignment horizontal="right" vertical="center"/>
    </xf>
    <xf numFmtId="165" fontId="19" fillId="0" borderId="0" xfId="0" applyNumberFormat="1" applyFont="1"/>
    <xf numFmtId="0" fontId="18" fillId="9" borderId="0" xfId="3" applyNumberFormat="1" applyFont="1" applyFill="1" applyAlignment="1">
      <alignment horizontal="left" wrapText="1"/>
    </xf>
    <xf numFmtId="171" fontId="18" fillId="9" borderId="0" xfId="1" applyNumberFormat="1" applyFont="1" applyFill="1" applyBorder="1" applyAlignment="1">
      <alignment horizontal="right" vertical="center"/>
    </xf>
    <xf numFmtId="171" fontId="18" fillId="0" borderId="0" xfId="0" applyNumberFormat="1" applyFont="1"/>
    <xf numFmtId="171" fontId="18" fillId="0" borderId="0" xfId="1" applyNumberFormat="1" applyFont="1" applyFill="1" applyBorder="1" applyAlignment="1">
      <alignment horizontal="right" vertical="center"/>
    </xf>
    <xf numFmtId="170" fontId="17" fillId="0" borderId="0" xfId="0" applyNumberFormat="1" applyFont="1"/>
    <xf numFmtId="43" fontId="19" fillId="0" borderId="0" xfId="0" applyNumberFormat="1" applyFont="1"/>
    <xf numFmtId="166" fontId="18" fillId="0" borderId="0" xfId="2" applyNumberFormat="1" applyFont="1" applyFill="1" applyBorder="1" applyAlignment="1">
      <alignment horizontal="right" vertical="center"/>
    </xf>
    <xf numFmtId="166" fontId="18" fillId="0" borderId="0" xfId="2" applyNumberFormat="1" applyFont="1" applyFill="1" applyBorder="1" applyAlignment="1">
      <alignment horizontal="center" vertical="center"/>
    </xf>
    <xf numFmtId="165" fontId="21" fillId="0" borderId="0" xfId="0" applyNumberFormat="1" applyFont="1"/>
    <xf numFmtId="166" fontId="21" fillId="0" borderId="0" xfId="2" applyNumberFormat="1" applyFont="1" applyFill="1" applyBorder="1"/>
    <xf numFmtId="0" fontId="21" fillId="0" borderId="0" xfId="0" applyFont="1"/>
    <xf numFmtId="171" fontId="20" fillId="0" borderId="0" xfId="1" applyNumberFormat="1" applyFont="1" applyFill="1" applyBorder="1" applyAlignment="1">
      <alignment horizontal="right" vertical="center"/>
    </xf>
    <xf numFmtId="166" fontId="20" fillId="0" borderId="0" xfId="2" applyNumberFormat="1" applyFont="1" applyFill="1" applyBorder="1" applyAlignment="1">
      <alignment horizontal="right" vertical="center"/>
    </xf>
    <xf numFmtId="169" fontId="22" fillId="0" borderId="0" xfId="9" applyNumberFormat="1" applyFont="1" applyFill="1" applyBorder="1" applyAlignment="1">
      <alignment horizontal="left"/>
    </xf>
    <xf numFmtId="171" fontId="22" fillId="0" borderId="0" xfId="1" applyNumberFormat="1" applyFont="1" applyFill="1" applyBorder="1" applyAlignment="1">
      <alignment horizontal="right" vertical="center"/>
    </xf>
    <xf numFmtId="166" fontId="22" fillId="0" borderId="0" xfId="2" applyNumberFormat="1" applyFont="1" applyFill="1" applyBorder="1" applyAlignment="1">
      <alignment horizontal="right" vertical="center"/>
    </xf>
    <xf numFmtId="166" fontId="21" fillId="0" borderId="0" xfId="0" applyNumberFormat="1" applyFont="1"/>
    <xf numFmtId="0" fontId="23" fillId="0" borderId="0" xfId="0" applyFont="1"/>
    <xf numFmtId="0" fontId="20" fillId="0" borderId="1" xfId="3" applyNumberFormat="1" applyFont="1" applyBorder="1" applyAlignment="1">
      <alignment horizontal="left" wrapText="1"/>
    </xf>
    <xf numFmtId="171" fontId="20" fillId="6" borderId="0" xfId="1" applyNumberFormat="1" applyFont="1" applyFill="1" applyBorder="1" applyAlignment="1">
      <alignment horizontal="right" vertical="center"/>
    </xf>
    <xf numFmtId="165" fontId="19" fillId="0" borderId="0" xfId="1" applyNumberFormat="1" applyFont="1" applyFill="1" applyBorder="1"/>
    <xf numFmtId="171" fontId="18" fillId="6" borderId="2" xfId="1" applyNumberFormat="1" applyFont="1" applyFill="1" applyBorder="1" applyAlignment="1">
      <alignment horizontal="right" vertical="center"/>
    </xf>
    <xf numFmtId="171" fontId="17" fillId="0" borderId="0" xfId="1" applyNumberFormat="1" applyFont="1" applyFill="1" applyBorder="1" applyAlignment="1">
      <alignment horizontal="right"/>
    </xf>
    <xf numFmtId="171" fontId="19" fillId="0" borderId="0" xfId="1" applyNumberFormat="1" applyFont="1" applyFill="1" applyBorder="1" applyAlignment="1">
      <alignment horizontal="right"/>
    </xf>
    <xf numFmtId="9" fontId="19" fillId="0" borderId="0" xfId="2" applyFont="1" applyFill="1" applyBorder="1" applyAlignment="1">
      <alignment horizontal="right"/>
    </xf>
    <xf numFmtId="0" fontId="20" fillId="0" borderId="1" xfId="3" applyNumberFormat="1" applyFont="1" applyBorder="1" applyAlignment="1">
      <alignment horizontal="left"/>
    </xf>
    <xf numFmtId="171" fontId="19" fillId="0" borderId="1" xfId="1" applyNumberFormat="1" applyFont="1" applyFill="1" applyBorder="1" applyAlignment="1">
      <alignment horizontal="right"/>
    </xf>
    <xf numFmtId="0" fontId="18" fillId="9" borderId="0" xfId="3" applyNumberFormat="1" applyFont="1" applyFill="1" applyAlignment="1">
      <alignment horizontal="left"/>
    </xf>
    <xf numFmtId="171" fontId="17" fillId="9" borderId="0" xfId="1" applyNumberFormat="1" applyFont="1" applyFill="1" applyBorder="1" applyAlignment="1">
      <alignment horizontal="right"/>
    </xf>
    <xf numFmtId="171" fontId="17" fillId="0" borderId="0" xfId="1" applyNumberFormat="1" applyFont="1" applyFill="1" applyBorder="1"/>
    <xf numFmtId="0" fontId="20" fillId="0" borderId="0" xfId="3" applyNumberFormat="1" applyFont="1" applyAlignment="1">
      <alignment horizontal="left"/>
    </xf>
    <xf numFmtId="171" fontId="17" fillId="4" borderId="0" xfId="0" applyNumberFormat="1" applyFont="1" applyFill="1" applyAlignment="1">
      <alignment horizontal="right"/>
    </xf>
    <xf numFmtId="0" fontId="20" fillId="0" borderId="0" xfId="0" applyFont="1"/>
    <xf numFmtId="169" fontId="20" fillId="0" borderId="0" xfId="0" applyNumberFormat="1" applyFont="1" applyAlignment="1">
      <alignment horizontal="right"/>
    </xf>
    <xf numFmtId="165" fontId="20" fillId="0" borderId="0" xfId="1" applyNumberFormat="1" applyFont="1" applyFill="1" applyBorder="1" applyAlignment="1">
      <alignment horizontal="right"/>
    </xf>
    <xf numFmtId="165" fontId="19" fillId="0" borderId="0" xfId="1" applyNumberFormat="1" applyFont="1" applyFill="1" applyBorder="1" applyAlignment="1">
      <alignment horizontal="right"/>
    </xf>
    <xf numFmtId="165" fontId="19" fillId="6" borderId="0" xfId="1" applyNumberFormat="1" applyFont="1" applyFill="1" applyBorder="1" applyAlignment="1">
      <alignment horizontal="right"/>
    </xf>
    <xf numFmtId="0" fontId="22" fillId="0" borderId="1" xfId="0" applyFont="1" applyBorder="1"/>
    <xf numFmtId="169" fontId="20" fillId="0" borderId="1" xfId="0" applyNumberFormat="1" applyFont="1" applyBorder="1" applyAlignment="1">
      <alignment horizontal="right"/>
    </xf>
    <xf numFmtId="165" fontId="20" fillId="0" borderId="1" xfId="1" applyNumberFormat="1" applyFont="1" applyFill="1" applyBorder="1" applyAlignment="1">
      <alignment horizontal="right"/>
    </xf>
    <xf numFmtId="165" fontId="20" fillId="6" borderId="1" xfId="1" applyNumberFormat="1" applyFont="1" applyFill="1" applyBorder="1" applyAlignment="1">
      <alignment horizontal="right"/>
    </xf>
    <xf numFmtId="0" fontId="18" fillId="0" borderId="0" xfId="0" applyFont="1"/>
    <xf numFmtId="169" fontId="18" fillId="0" borderId="0" xfId="0" applyNumberFormat="1" applyFont="1" applyAlignment="1">
      <alignment horizontal="right"/>
    </xf>
    <xf numFmtId="165" fontId="18" fillId="0" borderId="0" xfId="1" applyNumberFormat="1" applyFont="1" applyFill="1" applyBorder="1" applyAlignment="1">
      <alignment horizontal="right"/>
    </xf>
    <xf numFmtId="165" fontId="18" fillId="0" borderId="0" xfId="1" applyNumberFormat="1" applyFont="1" applyFill="1" applyBorder="1" applyAlignment="1">
      <alignment horizontal="center"/>
    </xf>
    <xf numFmtId="169" fontId="20" fillId="0" borderId="0" xfId="7" applyNumberFormat="1" applyFont="1" applyAlignment="1">
      <alignment horizontal="left" indent="3"/>
    </xf>
    <xf numFmtId="164" fontId="20" fillId="0" borderId="0" xfId="8" applyFont="1" applyFill="1" applyBorder="1" applyAlignment="1">
      <alignment horizontal="right" vertical="center"/>
    </xf>
    <xf numFmtId="0" fontId="24" fillId="2" borderId="0" xfId="0" applyFont="1" applyFill="1"/>
    <xf numFmtId="0" fontId="24" fillId="2" borderId="0" xfId="0" applyFont="1" applyFill="1" applyAlignment="1">
      <alignment horizontal="right"/>
    </xf>
    <xf numFmtId="0" fontId="24" fillId="0" borderId="0" xfId="0" applyFont="1"/>
    <xf numFmtId="166" fontId="24" fillId="0" borderId="0" xfId="2" applyNumberFormat="1" applyFont="1" applyFill="1" applyBorder="1"/>
    <xf numFmtId="0" fontId="19" fillId="0" borderId="0" xfId="0" applyFont="1" applyAlignment="1">
      <alignment horizontal="right"/>
    </xf>
    <xf numFmtId="165" fontId="17" fillId="0" borderId="0" xfId="1" applyNumberFormat="1" applyFont="1" applyBorder="1" applyAlignment="1">
      <alignment horizontal="right"/>
    </xf>
    <xf numFmtId="166" fontId="17" fillId="0" borderId="0" xfId="2" applyNumberFormat="1" applyFont="1" applyBorder="1" applyAlignment="1">
      <alignment horizontal="right"/>
    </xf>
    <xf numFmtId="166" fontId="19" fillId="0" borderId="0" xfId="2" applyNumberFormat="1" applyFont="1" applyAlignment="1">
      <alignment horizontal="right"/>
    </xf>
    <xf numFmtId="166" fontId="19" fillId="0" borderId="0" xfId="2" applyNumberFormat="1" applyFont="1" applyBorder="1" applyAlignment="1">
      <alignment horizontal="right"/>
    </xf>
    <xf numFmtId="165" fontId="19" fillId="0" borderId="0" xfId="0" applyNumberFormat="1" applyFont="1" applyAlignment="1">
      <alignment horizontal="right"/>
    </xf>
    <xf numFmtId="0" fontId="17" fillId="0" borderId="0" xfId="0" applyFont="1" applyAlignment="1">
      <alignment horizontal="right"/>
    </xf>
    <xf numFmtId="165" fontId="17" fillId="0" borderId="0" xfId="0" applyNumberFormat="1" applyFont="1" applyAlignment="1">
      <alignment horizontal="right"/>
    </xf>
    <xf numFmtId="166" fontId="17" fillId="0" borderId="0" xfId="2" applyNumberFormat="1" applyFont="1" applyAlignment="1">
      <alignment horizontal="right"/>
    </xf>
    <xf numFmtId="166" fontId="19" fillId="0" borderId="0" xfId="2" applyNumberFormat="1" applyFont="1" applyFill="1" applyBorder="1" applyAlignment="1">
      <alignment horizontal="right"/>
    </xf>
    <xf numFmtId="166" fontId="19" fillId="0" borderId="0" xfId="2" applyNumberFormat="1" applyFont="1" applyFill="1" applyBorder="1" applyAlignment="1">
      <alignment horizontal="right" vertical="center"/>
    </xf>
    <xf numFmtId="9" fontId="17" fillId="0" borderId="0" xfId="2" applyFont="1" applyBorder="1" applyAlignment="1">
      <alignment horizontal="right"/>
    </xf>
    <xf numFmtId="169" fontId="20" fillId="0" borderId="0" xfId="9" applyNumberFormat="1" applyFont="1" applyBorder="1" applyAlignment="1">
      <alignment horizontal="left"/>
    </xf>
    <xf numFmtId="166" fontId="19" fillId="0" borderId="0" xfId="0" applyNumberFormat="1" applyFont="1" applyAlignment="1">
      <alignment horizontal="right"/>
    </xf>
    <xf numFmtId="9" fontId="19" fillId="0" borderId="0" xfId="0" applyNumberFormat="1" applyFont="1" applyAlignment="1">
      <alignment horizontal="right"/>
    </xf>
    <xf numFmtId="165" fontId="19" fillId="0" borderId="0" xfId="1" applyNumberFormat="1" applyFont="1" applyAlignment="1">
      <alignment horizontal="right"/>
    </xf>
    <xf numFmtId="0" fontId="26" fillId="0" borderId="0" xfId="0" applyFont="1" applyAlignment="1">
      <alignment horizontal="right"/>
    </xf>
    <xf numFmtId="171" fontId="19" fillId="0" borderId="0" xfId="0" applyNumberFormat="1" applyFont="1" applyAlignment="1">
      <alignment horizontal="right"/>
    </xf>
    <xf numFmtId="166" fontId="19" fillId="0" borderId="0" xfId="2" applyNumberFormat="1" applyFont="1"/>
    <xf numFmtId="9" fontId="19" fillId="0" borderId="0" xfId="0" applyNumberFormat="1" applyFont="1"/>
    <xf numFmtId="165" fontId="20" fillId="0" borderId="0" xfId="1" applyNumberFormat="1" applyFont="1"/>
    <xf numFmtId="167" fontId="20" fillId="0" borderId="0" xfId="1" applyNumberFormat="1" applyFont="1" applyBorder="1" applyAlignment="1">
      <alignment horizontal="right"/>
    </xf>
    <xf numFmtId="167" fontId="20" fillId="0" borderId="0" xfId="1" applyNumberFormat="1" applyFont="1" applyBorder="1"/>
    <xf numFmtId="165" fontId="20" fillId="0" borderId="0" xfId="1" applyNumberFormat="1" applyFont="1" applyAlignment="1">
      <alignment horizontal="right"/>
    </xf>
    <xf numFmtId="165" fontId="20" fillId="0" borderId="0" xfId="1" applyNumberFormat="1" applyFont="1" applyBorder="1" applyAlignment="1">
      <alignment horizontal="right"/>
    </xf>
    <xf numFmtId="174" fontId="20" fillId="0" borderId="0" xfId="1" applyNumberFormat="1" applyFont="1" applyBorder="1" applyAlignment="1">
      <alignment horizontal="right"/>
    </xf>
    <xf numFmtId="165" fontId="20" fillId="0" borderId="0" xfId="1" applyNumberFormat="1" applyFont="1" applyBorder="1"/>
    <xf numFmtId="167" fontId="18" fillId="0" borderId="0" xfId="1" applyNumberFormat="1" applyFont="1"/>
    <xf numFmtId="165" fontId="18" fillId="0" borderId="0" xfId="1" applyNumberFormat="1" applyFont="1" applyAlignment="1">
      <alignment horizontal="right"/>
    </xf>
    <xf numFmtId="165" fontId="18" fillId="0" borderId="0" xfId="1" applyNumberFormat="1" applyFont="1" applyBorder="1" applyAlignment="1">
      <alignment horizontal="right"/>
    </xf>
    <xf numFmtId="167" fontId="18" fillId="0" borderId="0" xfId="1" applyNumberFormat="1" applyFont="1" applyBorder="1"/>
    <xf numFmtId="165" fontId="18" fillId="0" borderId="0" xfId="1" applyNumberFormat="1" applyFont="1" applyBorder="1"/>
    <xf numFmtId="165" fontId="20" fillId="6" borderId="0" xfId="1" applyNumberFormat="1" applyFont="1" applyFill="1" applyBorder="1" applyAlignment="1">
      <alignment horizontal="right"/>
    </xf>
    <xf numFmtId="165" fontId="18" fillId="0" borderId="0" xfId="1" applyNumberFormat="1" applyFont="1"/>
    <xf numFmtId="166" fontId="20" fillId="0" borderId="0" xfId="2" applyNumberFormat="1" applyFont="1"/>
    <xf numFmtId="166" fontId="20" fillId="0" borderId="0" xfId="2" applyNumberFormat="1" applyFont="1" applyAlignment="1">
      <alignment horizontal="right"/>
    </xf>
    <xf numFmtId="165" fontId="24" fillId="2" borderId="0" xfId="0" applyNumberFormat="1" applyFont="1" applyFill="1"/>
    <xf numFmtId="165" fontId="24" fillId="2" borderId="0" xfId="0" applyNumberFormat="1" applyFont="1" applyFill="1" applyAlignment="1">
      <alignment horizontal="right"/>
    </xf>
    <xf numFmtId="0" fontId="24" fillId="5" borderId="0" xfId="0" applyFont="1" applyFill="1"/>
    <xf numFmtId="165" fontId="24" fillId="5" borderId="0" xfId="0" applyNumberFormat="1" applyFont="1" applyFill="1"/>
    <xf numFmtId="165" fontId="24" fillId="5" borderId="0" xfId="0" applyNumberFormat="1" applyFont="1" applyFill="1" applyAlignment="1">
      <alignment horizontal="right"/>
    </xf>
    <xf numFmtId="0" fontId="20" fillId="5" borderId="0" xfId="0" applyFont="1" applyFill="1"/>
    <xf numFmtId="165" fontId="20" fillId="5" borderId="0" xfId="0" applyNumberFormat="1" applyFont="1" applyFill="1"/>
    <xf numFmtId="165" fontId="20" fillId="5" borderId="0" xfId="0" applyNumberFormat="1" applyFont="1" applyFill="1" applyAlignment="1">
      <alignment horizontal="right"/>
    </xf>
    <xf numFmtId="165" fontId="19" fillId="0" borderId="0" xfId="1" applyNumberFormat="1" applyFont="1"/>
    <xf numFmtId="165" fontId="17" fillId="0" borderId="0" xfId="1" applyNumberFormat="1" applyFont="1"/>
    <xf numFmtId="165" fontId="17" fillId="0" borderId="0" xfId="1" applyNumberFormat="1" applyFont="1" applyAlignment="1">
      <alignment horizontal="right"/>
    </xf>
    <xf numFmtId="167" fontId="19" fillId="0" borderId="0" xfId="1" applyNumberFormat="1" applyFont="1"/>
    <xf numFmtId="166" fontId="17" fillId="0" borderId="0" xfId="2" applyNumberFormat="1" applyFont="1" applyBorder="1"/>
    <xf numFmtId="166" fontId="17" fillId="0" borderId="0" xfId="2" applyNumberFormat="1" applyFont="1"/>
    <xf numFmtId="167" fontId="17" fillId="0" borderId="0" xfId="1" applyNumberFormat="1" applyFont="1"/>
    <xf numFmtId="43" fontId="19" fillId="0" borderId="0" xfId="0" applyNumberFormat="1" applyFont="1" applyAlignment="1">
      <alignment horizontal="right"/>
    </xf>
    <xf numFmtId="165" fontId="26" fillId="0" borderId="0" xfId="1" applyNumberFormat="1" applyFont="1" applyAlignment="1">
      <alignment horizontal="right"/>
    </xf>
    <xf numFmtId="165" fontId="26" fillId="0" borderId="0" xfId="1" applyNumberFormat="1" applyFont="1" applyBorder="1" applyAlignment="1">
      <alignment horizontal="right"/>
    </xf>
    <xf numFmtId="9" fontId="26" fillId="0" borderId="0" xfId="0" applyNumberFormat="1" applyFont="1" applyAlignment="1">
      <alignment horizontal="right"/>
    </xf>
    <xf numFmtId="165" fontId="26" fillId="0" borderId="0" xfId="1" applyNumberFormat="1" applyFont="1" applyBorder="1"/>
    <xf numFmtId="168" fontId="18" fillId="0" borderId="0" xfId="5" applyFont="1" applyAlignment="1">
      <alignment horizontal="center"/>
    </xf>
    <xf numFmtId="0" fontId="18" fillId="0" borderId="0" xfId="4" quotePrefix="1" applyFont="1" applyAlignment="1">
      <alignment horizontal="center" vertical="center"/>
    </xf>
    <xf numFmtId="169" fontId="18" fillId="0" borderId="0" xfId="7" applyNumberFormat="1" applyFont="1"/>
    <xf numFmtId="169" fontId="20" fillId="0" borderId="0" xfId="10" applyNumberFormat="1" applyFont="1"/>
    <xf numFmtId="169" fontId="20" fillId="0" borderId="0" xfId="10" applyNumberFormat="1" applyFont="1" applyAlignment="1">
      <alignment horizontal="right"/>
    </xf>
    <xf numFmtId="169" fontId="18" fillId="0" borderId="0" xfId="10" applyNumberFormat="1" applyFont="1"/>
    <xf numFmtId="169" fontId="20" fillId="0" borderId="0" xfId="8" applyNumberFormat="1" applyFont="1" applyFill="1" applyBorder="1" applyAlignment="1">
      <alignment horizontal="center" vertical="center"/>
    </xf>
    <xf numFmtId="169" fontId="20" fillId="0" borderId="0" xfId="8" applyNumberFormat="1" applyFont="1" applyFill="1" applyBorder="1" applyAlignment="1">
      <alignment horizontal="right" vertical="center"/>
    </xf>
    <xf numFmtId="169" fontId="20" fillId="0" borderId="0" xfId="10" applyNumberFormat="1" applyFont="1" applyAlignment="1">
      <alignment horizontal="left" indent="1"/>
    </xf>
    <xf numFmtId="169" fontId="20" fillId="0" borderId="1" xfId="8" applyNumberFormat="1" applyFont="1" applyFill="1" applyBorder="1" applyAlignment="1">
      <alignment horizontal="center" vertical="center"/>
    </xf>
    <xf numFmtId="169" fontId="20" fillId="0" borderId="1" xfId="8" applyNumberFormat="1" applyFont="1" applyFill="1" applyBorder="1" applyAlignment="1">
      <alignment horizontal="right" vertical="center"/>
    </xf>
    <xf numFmtId="0" fontId="17" fillId="0" borderId="2" xfId="0" applyFont="1" applyBorder="1"/>
    <xf numFmtId="169" fontId="18" fillId="0" borderId="0" xfId="8" applyNumberFormat="1" applyFont="1" applyFill="1" applyBorder="1" applyAlignment="1">
      <alignment horizontal="center" vertical="center"/>
    </xf>
    <xf numFmtId="169" fontId="18" fillId="0" borderId="0" xfId="8" applyNumberFormat="1" applyFont="1" applyFill="1" applyBorder="1" applyAlignment="1">
      <alignment horizontal="right" vertical="center"/>
    </xf>
    <xf numFmtId="169" fontId="18" fillId="0" borderId="2" xfId="8" applyNumberFormat="1" applyFont="1" applyFill="1" applyBorder="1" applyAlignment="1">
      <alignment horizontal="right" vertical="center"/>
    </xf>
    <xf numFmtId="3" fontId="20" fillId="0" borderId="0" xfId="10" applyNumberFormat="1" applyFont="1" applyAlignment="1">
      <alignment horizontal="center" vertical="center"/>
    </xf>
    <xf numFmtId="3" fontId="20" fillId="0" borderId="0" xfId="10" applyNumberFormat="1" applyFont="1" applyAlignment="1">
      <alignment horizontal="right" vertical="center"/>
    </xf>
    <xf numFmtId="169" fontId="18" fillId="0" borderId="2" xfId="10" applyNumberFormat="1" applyFont="1" applyBorder="1"/>
    <xf numFmtId="169" fontId="18" fillId="0" borderId="2" xfId="8" applyNumberFormat="1" applyFont="1" applyFill="1" applyBorder="1" applyAlignment="1">
      <alignment horizontal="center" vertical="center"/>
    </xf>
    <xf numFmtId="169" fontId="18" fillId="0" borderId="3" xfId="10" applyNumberFormat="1" applyFont="1" applyBorder="1"/>
    <xf numFmtId="169" fontId="18" fillId="0" borderId="3" xfId="8" applyNumberFormat="1" applyFont="1" applyFill="1" applyBorder="1" applyAlignment="1">
      <alignment horizontal="center" vertical="center"/>
    </xf>
    <xf numFmtId="169" fontId="18" fillId="0" borderId="3" xfId="8" applyNumberFormat="1" applyFont="1" applyFill="1" applyBorder="1" applyAlignment="1">
      <alignment horizontal="right" vertical="center"/>
    </xf>
    <xf numFmtId="169" fontId="18" fillId="0" borderId="2" xfId="10" applyNumberFormat="1" applyFont="1" applyBorder="1" applyAlignment="1">
      <alignment horizontal="left" indent="1"/>
    </xf>
    <xf numFmtId="169" fontId="19" fillId="0" borderId="0" xfId="0" applyNumberFormat="1" applyFont="1"/>
    <xf numFmtId="169" fontId="20" fillId="0" borderId="1" xfId="10" applyNumberFormat="1" applyFont="1" applyBorder="1"/>
    <xf numFmtId="169" fontId="18" fillId="6" borderId="0" xfId="8" applyNumberFormat="1" applyFont="1" applyFill="1" applyBorder="1" applyAlignment="1">
      <alignment horizontal="right" vertical="center"/>
    </xf>
    <xf numFmtId="0" fontId="27" fillId="2" borderId="0" xfId="0" applyFont="1" applyFill="1"/>
    <xf numFmtId="0" fontId="27" fillId="2" borderId="0" xfId="0" applyFont="1" applyFill="1" applyAlignment="1">
      <alignment horizontal="right"/>
    </xf>
    <xf numFmtId="0" fontId="27" fillId="0" borderId="0" xfId="0" applyFont="1"/>
    <xf numFmtId="169" fontId="19" fillId="0" borderId="0" xfId="0" applyNumberFormat="1" applyFont="1" applyAlignment="1">
      <alignment horizontal="right"/>
    </xf>
    <xf numFmtId="167" fontId="17" fillId="0" borderId="0" xfId="1" applyNumberFormat="1" applyFont="1" applyFill="1" applyBorder="1" applyAlignment="1">
      <alignment horizontal="right"/>
    </xf>
    <xf numFmtId="167" fontId="25" fillId="0" borderId="0" xfId="1" applyNumberFormat="1" applyFont="1" applyFill="1" applyBorder="1" applyAlignment="1">
      <alignment horizontal="right"/>
    </xf>
    <xf numFmtId="167" fontId="19" fillId="0" borderId="0" xfId="0" applyNumberFormat="1" applyFont="1" applyAlignment="1">
      <alignment horizontal="right"/>
    </xf>
    <xf numFmtId="166" fontId="19" fillId="0" borderId="0" xfId="2" applyNumberFormat="1" applyFont="1" applyFill="1" applyAlignment="1">
      <alignment horizontal="right"/>
    </xf>
    <xf numFmtId="167" fontId="19" fillId="0" borderId="0" xfId="1" applyNumberFormat="1" applyFont="1" applyFill="1" applyAlignment="1">
      <alignment horizontal="right"/>
    </xf>
    <xf numFmtId="167" fontId="19" fillId="0" borderId="0" xfId="1" applyNumberFormat="1" applyFont="1" applyFill="1" applyBorder="1" applyAlignment="1">
      <alignment horizontal="right"/>
    </xf>
    <xf numFmtId="0" fontId="18" fillId="0" borderId="0" xfId="0" applyFont="1" applyAlignment="1">
      <alignment vertical="center"/>
    </xf>
    <xf numFmtId="0" fontId="18" fillId="0" borderId="0" xfId="4" applyFont="1" applyAlignment="1">
      <alignment horizontal="center" vertical="center"/>
    </xf>
    <xf numFmtId="169" fontId="20" fillId="0" borderId="0" xfId="0" applyNumberFormat="1" applyFont="1" applyAlignment="1">
      <alignment horizontal="center"/>
    </xf>
    <xf numFmtId="166" fontId="20" fillId="0" borderId="0" xfId="2" applyNumberFormat="1" applyFont="1" applyFill="1" applyBorder="1" applyAlignment="1">
      <alignment horizontal="right"/>
    </xf>
    <xf numFmtId="0" fontId="20" fillId="0" borderId="0" xfId="0" applyFont="1" applyAlignment="1">
      <alignment wrapText="1"/>
    </xf>
    <xf numFmtId="169" fontId="20" fillId="0" borderId="0" xfId="0" applyNumberFormat="1" applyFont="1" applyAlignment="1">
      <alignment horizontal="center" vertical="center"/>
    </xf>
    <xf numFmtId="169" fontId="20" fillId="0" borderId="0" xfId="0" applyNumberFormat="1" applyFont="1" applyAlignment="1">
      <alignment horizontal="right" vertical="center"/>
    </xf>
    <xf numFmtId="169" fontId="18" fillId="0" borderId="0" xfId="0" applyNumberFormat="1" applyFont="1" applyAlignment="1">
      <alignment horizontal="center"/>
    </xf>
    <xf numFmtId="166" fontId="18" fillId="0" borderId="0" xfId="2" applyNumberFormat="1" applyFont="1" applyFill="1" applyBorder="1" applyAlignment="1">
      <alignment horizontal="right"/>
    </xf>
    <xf numFmtId="9" fontId="19" fillId="0" borderId="0" xfId="2" applyFont="1" applyFill="1" applyAlignment="1">
      <alignment horizontal="right"/>
    </xf>
    <xf numFmtId="172" fontId="19" fillId="0" borderId="0" xfId="1" applyNumberFormat="1" applyFont="1" applyFill="1"/>
    <xf numFmtId="172" fontId="19" fillId="0" borderId="0" xfId="1" applyNumberFormat="1" applyFont="1" applyFill="1" applyBorder="1"/>
    <xf numFmtId="172" fontId="19" fillId="0" borderId="0" xfId="0" applyNumberFormat="1" applyFont="1"/>
    <xf numFmtId="167" fontId="26" fillId="0" borderId="0" xfId="1" applyNumberFormat="1" applyFont="1" applyAlignment="1">
      <alignment horizontal="right"/>
    </xf>
    <xf numFmtId="167" fontId="26" fillId="0" borderId="0" xfId="1" applyNumberFormat="1" applyFont="1" applyBorder="1" applyAlignment="1">
      <alignment horizontal="right"/>
    </xf>
    <xf numFmtId="165" fontId="25" fillId="0" borderId="0" xfId="1" applyNumberFormat="1" applyFont="1" applyAlignment="1">
      <alignment horizontal="right"/>
    </xf>
    <xf numFmtId="165" fontId="25" fillId="0" borderId="0" xfId="1" applyNumberFormat="1" applyFont="1" applyBorder="1" applyAlignment="1">
      <alignment horizontal="right"/>
    </xf>
    <xf numFmtId="165" fontId="25" fillId="6" borderId="0" xfId="1" applyNumberFormat="1" applyFont="1" applyFill="1" applyBorder="1" applyAlignment="1">
      <alignment horizontal="right"/>
    </xf>
    <xf numFmtId="169" fontId="26" fillId="0" borderId="1" xfId="8" applyNumberFormat="1" applyFont="1" applyFill="1" applyBorder="1" applyAlignment="1">
      <alignment horizontal="right" vertical="center"/>
    </xf>
    <xf numFmtId="169" fontId="26" fillId="0" borderId="0" xfId="8" applyNumberFormat="1" applyFont="1" applyFill="1" applyBorder="1" applyAlignment="1">
      <alignment horizontal="right" vertical="center"/>
    </xf>
    <xf numFmtId="3" fontId="26" fillId="0" borderId="0" xfId="10" applyNumberFormat="1" applyFont="1" applyAlignment="1">
      <alignment horizontal="right" vertical="center"/>
    </xf>
    <xf numFmtId="169" fontId="25" fillId="0" borderId="3" xfId="8" applyNumberFormat="1" applyFont="1" applyFill="1" applyBorder="1" applyAlignment="1">
      <alignment horizontal="right" vertical="center"/>
    </xf>
    <xf numFmtId="169" fontId="25" fillId="0" borderId="2" xfId="8" applyNumberFormat="1" applyFont="1" applyFill="1" applyBorder="1" applyAlignment="1">
      <alignment horizontal="right" vertical="center"/>
    </xf>
    <xf numFmtId="169" fontId="25" fillId="0" borderId="0" xfId="8" applyNumberFormat="1" applyFont="1" applyFill="1" applyBorder="1" applyAlignment="1">
      <alignment horizontal="right" vertical="center"/>
    </xf>
    <xf numFmtId="0" fontId="26" fillId="2" borderId="0" xfId="0" applyFont="1" applyFill="1" applyAlignment="1">
      <alignment horizontal="right"/>
    </xf>
    <xf numFmtId="0" fontId="25" fillId="0" borderId="0" xfId="4" quotePrefix="1" applyFont="1" applyAlignment="1">
      <alignment horizontal="right" vertical="center"/>
    </xf>
    <xf numFmtId="171" fontId="26" fillId="0" borderId="1" xfId="1" applyNumberFormat="1" applyFont="1" applyFill="1" applyBorder="1" applyAlignment="1">
      <alignment horizontal="right" vertical="center"/>
    </xf>
    <xf numFmtId="171" fontId="25" fillId="9" borderId="0" xfId="1" applyNumberFormat="1" applyFont="1" applyFill="1" applyBorder="1" applyAlignment="1">
      <alignment horizontal="right" vertical="center"/>
    </xf>
    <xf numFmtId="9" fontId="25" fillId="9" borderId="0" xfId="2" applyFont="1" applyFill="1" applyBorder="1" applyAlignment="1">
      <alignment horizontal="right" vertical="center"/>
    </xf>
    <xf numFmtId="171" fontId="25" fillId="0" borderId="0" xfId="1" applyNumberFormat="1" applyFont="1" applyFill="1" applyBorder="1" applyAlignment="1">
      <alignment horizontal="right" vertical="center"/>
    </xf>
    <xf numFmtId="171" fontId="25" fillId="0" borderId="0" xfId="2" applyNumberFormat="1" applyFont="1" applyFill="1" applyBorder="1" applyAlignment="1">
      <alignment horizontal="right" vertical="center"/>
    </xf>
    <xf numFmtId="9" fontId="25" fillId="0" borderId="0" xfId="2" applyFont="1" applyFill="1" applyBorder="1" applyAlignment="1">
      <alignment horizontal="right" vertical="center"/>
    </xf>
    <xf numFmtId="171" fontId="26" fillId="0" borderId="0" xfId="1" applyNumberFormat="1" applyFont="1" applyFill="1" applyBorder="1" applyAlignment="1">
      <alignment horizontal="right" vertical="center"/>
    </xf>
    <xf numFmtId="171" fontId="26" fillId="6" borderId="0" xfId="1" applyNumberFormat="1" applyFont="1" applyFill="1" applyBorder="1" applyAlignment="1">
      <alignment horizontal="right" vertical="center"/>
    </xf>
    <xf numFmtId="166" fontId="26" fillId="0" borderId="0" xfId="2" applyNumberFormat="1" applyFont="1" applyFill="1" applyBorder="1" applyAlignment="1">
      <alignment horizontal="right" vertical="center"/>
    </xf>
    <xf numFmtId="165" fontId="26" fillId="0" borderId="0" xfId="0" applyNumberFormat="1" applyFont="1" applyAlignment="1">
      <alignment horizontal="right"/>
    </xf>
    <xf numFmtId="166" fontId="20" fillId="0" borderId="0" xfId="2" applyNumberFormat="1" applyFont="1" applyBorder="1" applyAlignment="1">
      <alignment horizontal="right"/>
    </xf>
    <xf numFmtId="166" fontId="18" fillId="0" borderId="0" xfId="2" applyNumberFormat="1" applyFont="1" applyBorder="1" applyAlignment="1">
      <alignment horizontal="right"/>
    </xf>
    <xf numFmtId="166" fontId="18" fillId="0" borderId="0" xfId="2" applyNumberFormat="1" applyFont="1" applyAlignment="1">
      <alignment horizontal="right"/>
    </xf>
    <xf numFmtId="43" fontId="20" fillId="0" borderId="0" xfId="0" applyNumberFormat="1" applyFont="1" applyAlignment="1">
      <alignment horizontal="right"/>
    </xf>
    <xf numFmtId="9" fontId="20" fillId="0" borderId="0" xfId="0" applyNumberFormat="1" applyFont="1" applyAlignment="1">
      <alignment horizontal="right"/>
    </xf>
    <xf numFmtId="0" fontId="18" fillId="4" borderId="0" xfId="0" applyFont="1" applyFill="1" applyAlignment="1">
      <alignment horizontal="right"/>
    </xf>
    <xf numFmtId="0" fontId="20" fillId="0" borderId="0" xfId="0" applyFont="1" applyAlignment="1">
      <alignment horizontal="right"/>
    </xf>
    <xf numFmtId="0" fontId="18" fillId="2" borderId="0" xfId="0" applyFont="1" applyFill="1" applyAlignment="1">
      <alignment horizontal="right"/>
    </xf>
    <xf numFmtId="0" fontId="20" fillId="2" borderId="0" xfId="0" applyFont="1" applyFill="1" applyAlignment="1">
      <alignment horizontal="right"/>
    </xf>
    <xf numFmtId="166" fontId="20" fillId="0" borderId="0" xfId="2" applyNumberFormat="1" applyFont="1" applyFill="1" applyAlignment="1">
      <alignment horizontal="right"/>
    </xf>
    <xf numFmtId="171" fontId="18" fillId="0" borderId="0" xfId="1" applyNumberFormat="1" applyFont="1" applyFill="1" applyBorder="1" applyAlignment="1">
      <alignment horizontal="right"/>
    </xf>
    <xf numFmtId="171" fontId="18" fillId="6" borderId="0" xfId="1" applyNumberFormat="1" applyFont="1" applyFill="1" applyBorder="1" applyAlignment="1">
      <alignment horizontal="right"/>
    </xf>
    <xf numFmtId="171" fontId="20" fillId="0" borderId="0" xfId="1" applyNumberFormat="1" applyFont="1" applyFill="1" applyBorder="1" applyAlignment="1">
      <alignment horizontal="right"/>
    </xf>
    <xf numFmtId="9" fontId="20" fillId="0" borderId="0" xfId="2" applyFont="1" applyFill="1" applyBorder="1" applyAlignment="1">
      <alignment horizontal="right"/>
    </xf>
    <xf numFmtId="171" fontId="18" fillId="9" borderId="0" xfId="1" applyNumberFormat="1" applyFont="1" applyFill="1" applyBorder="1" applyAlignment="1">
      <alignment horizontal="right"/>
    </xf>
    <xf numFmtId="9" fontId="18" fillId="0" borderId="0" xfId="1" applyNumberFormat="1" applyFont="1" applyFill="1" applyBorder="1" applyAlignment="1">
      <alignment horizontal="right"/>
    </xf>
    <xf numFmtId="165" fontId="20" fillId="0" borderId="0" xfId="0" applyNumberFormat="1" applyFont="1" applyAlignment="1">
      <alignment horizontal="right"/>
    </xf>
    <xf numFmtId="166" fontId="27" fillId="0" borderId="0" xfId="2" applyNumberFormat="1" applyFont="1" applyBorder="1" applyAlignment="1">
      <alignment horizontal="right"/>
    </xf>
    <xf numFmtId="171" fontId="18" fillId="0" borderId="0" xfId="2" applyNumberFormat="1" applyFont="1" applyFill="1" applyBorder="1" applyAlignment="1">
      <alignment horizontal="right" vertical="center"/>
    </xf>
    <xf numFmtId="166" fontId="20" fillId="0" borderId="0" xfId="2" applyNumberFormat="1" applyFont="1" applyAlignment="1">
      <alignment horizontal="left" wrapText="1"/>
    </xf>
    <xf numFmtId="166" fontId="20" fillId="0" borderId="0" xfId="2" applyNumberFormat="1" applyFont="1" applyFill="1" applyBorder="1" applyAlignment="1">
      <alignment horizontal="left"/>
    </xf>
    <xf numFmtId="166" fontId="20" fillId="0" borderId="0" xfId="2" applyNumberFormat="1" applyFont="1" applyBorder="1" applyAlignment="1">
      <alignment horizontal="left"/>
    </xf>
    <xf numFmtId="169" fontId="18" fillId="10" borderId="0" xfId="8" applyNumberFormat="1" applyFont="1" applyFill="1" applyBorder="1" applyAlignment="1">
      <alignment horizontal="right" vertical="center"/>
    </xf>
    <xf numFmtId="165" fontId="20" fillId="0" borderId="0" xfId="0" applyNumberFormat="1" applyFont="1"/>
    <xf numFmtId="176" fontId="25" fillId="9" borderId="0" xfId="1" applyNumberFormat="1" applyFont="1" applyFill="1" applyBorder="1" applyAlignment="1">
      <alignment horizontal="right" vertical="center"/>
    </xf>
    <xf numFmtId="169" fontId="20" fillId="0" borderId="0" xfId="9" applyNumberFormat="1" applyFont="1" applyFill="1" applyBorder="1" applyAlignment="1">
      <alignment horizontal="left" indent="1"/>
    </xf>
    <xf numFmtId="171" fontId="28" fillId="0" borderId="0" xfId="1" applyNumberFormat="1" applyFont="1" applyFill="1" applyBorder="1" applyAlignment="1">
      <alignment horizontal="right" vertical="center"/>
    </xf>
    <xf numFmtId="171" fontId="25" fillId="6" borderId="0" xfId="1" applyNumberFormat="1" applyFont="1" applyFill="1" applyBorder="1" applyAlignment="1">
      <alignment horizontal="right" vertical="center"/>
    </xf>
    <xf numFmtId="171" fontId="25" fillId="0" borderId="0" xfId="1" applyNumberFormat="1" applyFont="1" applyFill="1" applyBorder="1" applyAlignment="1">
      <alignment horizontal="right"/>
    </xf>
    <xf numFmtId="171" fontId="25" fillId="6" borderId="0" xfId="1" applyNumberFormat="1" applyFont="1" applyFill="1" applyBorder="1" applyAlignment="1">
      <alignment horizontal="right"/>
    </xf>
    <xf numFmtId="171" fontId="26" fillId="0" borderId="1" xfId="1" applyNumberFormat="1" applyFont="1" applyFill="1" applyBorder="1" applyAlignment="1">
      <alignment horizontal="right"/>
    </xf>
    <xf numFmtId="171" fontId="25" fillId="9" borderId="0" xfId="1" applyNumberFormat="1" applyFont="1" applyFill="1" applyBorder="1" applyAlignment="1">
      <alignment horizontal="right"/>
    </xf>
    <xf numFmtId="171" fontId="26" fillId="0" borderId="0" xfId="1" applyNumberFormat="1" applyFont="1" applyFill="1" applyBorder="1" applyAlignment="1">
      <alignment horizontal="right"/>
    </xf>
    <xf numFmtId="165" fontId="26" fillId="0" borderId="0" xfId="1" applyNumberFormat="1" applyFont="1" applyFill="1" applyBorder="1" applyAlignment="1">
      <alignment horizontal="right"/>
    </xf>
    <xf numFmtId="166" fontId="25" fillId="0" borderId="0" xfId="2" applyNumberFormat="1" applyFont="1" applyFill="1" applyBorder="1" applyAlignment="1">
      <alignment horizontal="right" vertical="center"/>
    </xf>
    <xf numFmtId="171" fontId="20" fillId="0" borderId="0" xfId="0" applyNumberFormat="1" applyFont="1"/>
    <xf numFmtId="166" fontId="20" fillId="0" borderId="0" xfId="2" applyNumberFormat="1" applyFont="1" applyFill="1" applyBorder="1"/>
    <xf numFmtId="171" fontId="20" fillId="0" borderId="1" xfId="1" applyNumberFormat="1" applyFont="1" applyFill="1" applyBorder="1" applyAlignment="1">
      <alignment horizontal="right"/>
    </xf>
    <xf numFmtId="9" fontId="18" fillId="0" borderId="0" xfId="2" applyFont="1" applyBorder="1" applyAlignment="1">
      <alignment horizontal="right"/>
    </xf>
    <xf numFmtId="9" fontId="18" fillId="0" borderId="0" xfId="2" applyFont="1" applyFill="1" applyBorder="1" applyAlignment="1">
      <alignment horizontal="right" vertical="center"/>
    </xf>
    <xf numFmtId="165" fontId="18" fillId="0" borderId="0" xfId="1" applyNumberFormat="1" applyFont="1" applyFill="1" applyBorder="1" applyAlignment="1">
      <alignment horizontal="right" vertical="center"/>
    </xf>
    <xf numFmtId="166" fontId="20" fillId="0" borderId="0" xfId="0" applyNumberFormat="1" applyFont="1" applyAlignment="1">
      <alignment horizontal="right"/>
    </xf>
    <xf numFmtId="171" fontId="20" fillId="0" borderId="2" xfId="0" applyNumberFormat="1" applyFont="1" applyBorder="1" applyAlignment="1">
      <alignment horizontal="right"/>
    </xf>
    <xf numFmtId="0" fontId="20" fillId="0" borderId="2" xfId="0" applyFont="1" applyBorder="1" applyAlignment="1">
      <alignment horizontal="right"/>
    </xf>
    <xf numFmtId="166" fontId="18" fillId="0" borderId="0" xfId="0" applyNumberFormat="1" applyFont="1" applyAlignment="1">
      <alignment horizontal="right"/>
    </xf>
    <xf numFmtId="171" fontId="20" fillId="0" borderId="0" xfId="0" applyNumberFormat="1" applyFont="1" applyAlignment="1">
      <alignment horizontal="right"/>
    </xf>
    <xf numFmtId="169" fontId="18" fillId="0" borderId="1" xfId="9" applyNumberFormat="1" applyFont="1" applyFill="1" applyBorder="1" applyAlignment="1">
      <alignment horizontal="left"/>
    </xf>
    <xf numFmtId="171" fontId="17" fillId="0" borderId="1" xfId="1" applyNumberFormat="1" applyFont="1" applyFill="1" applyBorder="1" applyAlignment="1">
      <alignment horizontal="right" vertical="center"/>
    </xf>
    <xf numFmtId="171" fontId="25" fillId="0" borderId="1" xfId="1" applyNumberFormat="1" applyFont="1" applyFill="1" applyBorder="1" applyAlignment="1">
      <alignment horizontal="right" vertical="center"/>
    </xf>
    <xf numFmtId="171" fontId="18" fillId="0" borderId="1" xfId="1" applyNumberFormat="1" applyFont="1" applyFill="1" applyBorder="1" applyAlignment="1">
      <alignment horizontal="right" vertical="center"/>
    </xf>
    <xf numFmtId="0" fontId="17" fillId="5" borderId="0" xfId="0" applyFont="1" applyFill="1"/>
    <xf numFmtId="0" fontId="19" fillId="5" borderId="0" xfId="0" applyFont="1" applyFill="1"/>
    <xf numFmtId="171" fontId="20" fillId="5" borderId="0" xfId="0" applyNumberFormat="1" applyFont="1" applyFill="1"/>
    <xf numFmtId="171" fontId="25" fillId="5" borderId="0" xfId="0" applyNumberFormat="1" applyFont="1" applyFill="1" applyAlignment="1">
      <alignment horizontal="right"/>
    </xf>
    <xf numFmtId="0" fontId="26" fillId="5" borderId="0" xfId="0" applyFont="1" applyFill="1"/>
    <xf numFmtId="166" fontId="20" fillId="5" borderId="0" xfId="0" applyNumberFormat="1" applyFont="1" applyFill="1"/>
    <xf numFmtId="171" fontId="19" fillId="5" borderId="0" xfId="0" applyNumberFormat="1" applyFont="1" applyFill="1"/>
    <xf numFmtId="171" fontId="17" fillId="5" borderId="0" xfId="0" applyNumberFormat="1" applyFont="1" applyFill="1" applyAlignment="1">
      <alignment horizontal="right"/>
    </xf>
    <xf numFmtId="166" fontId="19" fillId="5" borderId="0" xfId="0" applyNumberFormat="1" applyFont="1" applyFill="1"/>
    <xf numFmtId="171" fontId="17" fillId="5" borderId="0" xfId="0" applyNumberFormat="1" applyFont="1" applyFill="1"/>
    <xf numFmtId="166" fontId="19" fillId="5" borderId="0" xfId="2" applyNumberFormat="1" applyFont="1" applyFill="1"/>
    <xf numFmtId="165" fontId="19" fillId="5" borderId="0" xfId="0" applyNumberFormat="1" applyFont="1" applyFill="1"/>
    <xf numFmtId="165" fontId="17" fillId="5" borderId="0" xfId="0" applyNumberFormat="1" applyFont="1" applyFill="1"/>
    <xf numFmtId="165" fontId="17" fillId="5" borderId="0" xfId="1" applyNumberFormat="1" applyFont="1" applyFill="1" applyBorder="1"/>
    <xf numFmtId="167" fontId="17" fillId="5" borderId="0" xfId="1" applyNumberFormat="1" applyFont="1" applyFill="1" applyBorder="1"/>
    <xf numFmtId="166" fontId="19" fillId="5" borderId="0" xfId="2" applyNumberFormat="1" applyFont="1" applyFill="1" applyBorder="1"/>
    <xf numFmtId="165" fontId="21" fillId="5" borderId="0" xfId="1" applyNumberFormat="1" applyFont="1" applyFill="1" applyBorder="1"/>
    <xf numFmtId="0" fontId="21" fillId="5" borderId="0" xfId="0" applyFont="1" applyFill="1"/>
    <xf numFmtId="165" fontId="21" fillId="5" borderId="0" xfId="0" applyNumberFormat="1" applyFont="1" applyFill="1"/>
    <xf numFmtId="165" fontId="19" fillId="5" borderId="0" xfId="1" applyNumberFormat="1" applyFont="1" applyFill="1" applyBorder="1"/>
    <xf numFmtId="166" fontId="17" fillId="5" borderId="0" xfId="2" applyNumberFormat="1" applyFont="1" applyFill="1"/>
    <xf numFmtId="169" fontId="18" fillId="0" borderId="0" xfId="9" applyNumberFormat="1" applyFont="1" applyBorder="1" applyAlignment="1">
      <alignment horizontal="left"/>
    </xf>
    <xf numFmtId="171" fontId="18" fillId="0" borderId="0" xfId="4" quotePrefix="1" applyNumberFormat="1" applyFont="1" applyAlignment="1">
      <alignment horizontal="right" vertical="center"/>
    </xf>
    <xf numFmtId="43" fontId="19" fillId="5" borderId="0" xfId="0" applyNumberFormat="1" applyFont="1" applyFill="1"/>
    <xf numFmtId="3" fontId="19" fillId="0" borderId="0" xfId="0" applyNumberFormat="1" applyFont="1"/>
    <xf numFmtId="3" fontId="17" fillId="0" borderId="0" xfId="0" applyNumberFormat="1" applyFont="1"/>
    <xf numFmtId="0" fontId="29" fillId="2" borderId="0" xfId="0" applyFont="1" applyFill="1" applyAlignment="1">
      <alignment horizontal="right"/>
    </xf>
    <xf numFmtId="0" fontId="30" fillId="2" borderId="0" xfId="0" applyFont="1" applyFill="1" applyAlignment="1">
      <alignment horizontal="right"/>
    </xf>
    <xf numFmtId="0" fontId="32" fillId="11" borderId="0" xfId="19" applyFont="1" applyFill="1" applyAlignment="1">
      <alignment vertical="center"/>
    </xf>
    <xf numFmtId="0" fontId="33" fillId="11" borderId="0" xfId="19" applyFont="1" applyFill="1"/>
    <xf numFmtId="0" fontId="34" fillId="11" borderId="0" xfId="19" applyFont="1" applyFill="1"/>
    <xf numFmtId="0" fontId="20" fillId="11" borderId="0" xfId="15" applyFont="1" applyFill="1"/>
    <xf numFmtId="0" fontId="20" fillId="11" borderId="0" xfId="20" applyFont="1" applyFill="1"/>
    <xf numFmtId="0" fontId="33" fillId="11" borderId="0" xfId="15" applyFont="1" applyFill="1"/>
    <xf numFmtId="0" fontId="35" fillId="11" borderId="0" xfId="17" applyFont="1" applyFill="1" applyAlignment="1">
      <alignment vertical="top"/>
    </xf>
    <xf numFmtId="0" fontId="36" fillId="11" borderId="0" xfId="15" applyFont="1" applyFill="1" applyAlignment="1">
      <alignment horizontal="right"/>
    </xf>
    <xf numFmtId="0" fontId="20" fillId="5" borderId="0" xfId="20" applyFont="1" applyFill="1"/>
    <xf numFmtId="0" fontId="20" fillId="0" borderId="0" xfId="20" applyFont="1"/>
    <xf numFmtId="0" fontId="37" fillId="5" borderId="5" xfId="15" applyFont="1" applyFill="1" applyBorder="1"/>
    <xf numFmtId="0" fontId="18" fillId="5" borderId="0" xfId="15" applyFont="1" applyFill="1"/>
    <xf numFmtId="175" fontId="18" fillId="5" borderId="0" xfId="15" applyNumberFormat="1" applyFont="1" applyFill="1"/>
    <xf numFmtId="0" fontId="38" fillId="5" borderId="0" xfId="15" applyFont="1" applyFill="1"/>
    <xf numFmtId="2" fontId="18" fillId="5" borderId="0" xfId="15" applyNumberFormat="1" applyFont="1" applyFill="1"/>
    <xf numFmtId="0" fontId="20" fillId="5" borderId="0" xfId="15" applyFont="1" applyFill="1" applyAlignment="1">
      <alignment vertical="center"/>
    </xf>
    <xf numFmtId="0" fontId="20" fillId="5" borderId="0" xfId="15" applyFont="1" applyFill="1" applyAlignment="1">
      <alignment vertical="center" wrapText="1"/>
    </xf>
    <xf numFmtId="0" fontId="39" fillId="5" borderId="0" xfId="15" quotePrefix="1" applyFont="1" applyFill="1"/>
    <xf numFmtId="0" fontId="39" fillId="5" borderId="0" xfId="15" applyFont="1" applyFill="1"/>
    <xf numFmtId="165" fontId="39" fillId="5" borderId="0" xfId="21" applyNumberFormat="1" applyFont="1" applyFill="1"/>
    <xf numFmtId="166" fontId="39" fillId="5" borderId="0" xfId="15" applyNumberFormat="1" applyFont="1" applyFill="1"/>
    <xf numFmtId="165" fontId="18" fillId="5" borderId="0" xfId="21" applyNumberFormat="1" applyFont="1" applyFill="1"/>
    <xf numFmtId="165" fontId="40" fillId="5" borderId="0" xfId="21" applyNumberFormat="1" applyFont="1" applyFill="1"/>
    <xf numFmtId="0" fontId="41" fillId="5" borderId="0" xfId="20" applyFont="1" applyFill="1"/>
    <xf numFmtId="165" fontId="20" fillId="5" borderId="0" xfId="21" applyNumberFormat="1" applyFont="1" applyFill="1"/>
    <xf numFmtId="166" fontId="39" fillId="5" borderId="0" xfId="22" applyNumberFormat="1" applyFont="1" applyFill="1"/>
    <xf numFmtId="0" fontId="42" fillId="5" borderId="0" xfId="20" applyFont="1" applyFill="1"/>
    <xf numFmtId="165" fontId="40" fillId="5" borderId="0" xfId="21" applyNumberFormat="1" applyFont="1" applyFill="1" applyAlignment="1">
      <alignment horizontal="right"/>
    </xf>
    <xf numFmtId="166" fontId="39" fillId="5" borderId="0" xfId="21" applyNumberFormat="1" applyFont="1" applyFill="1" applyAlignment="1">
      <alignment horizontal="right"/>
    </xf>
    <xf numFmtId="0" fontId="20" fillId="5" borderId="0" xfId="15" applyFont="1" applyFill="1"/>
    <xf numFmtId="0" fontId="43" fillId="5" borderId="0" xfId="15" applyFont="1" applyFill="1"/>
    <xf numFmtId="0" fontId="20" fillId="5" borderId="0" xfId="15" applyFont="1" applyFill="1" applyAlignment="1">
      <alignment horizontal="right"/>
    </xf>
    <xf numFmtId="1" fontId="18" fillId="5" borderId="0" xfId="15" applyNumberFormat="1" applyFont="1" applyFill="1"/>
    <xf numFmtId="0" fontId="40" fillId="5" borderId="0" xfId="15" applyFont="1" applyFill="1"/>
    <xf numFmtId="0" fontId="44" fillId="5" borderId="0" xfId="15" applyFont="1" applyFill="1"/>
    <xf numFmtId="167" fontId="39" fillId="5" borderId="0" xfId="21" applyNumberFormat="1" applyFont="1" applyFill="1"/>
    <xf numFmtId="0" fontId="45" fillId="2" borderId="0" xfId="0" applyFont="1" applyFill="1"/>
    <xf numFmtId="0" fontId="46" fillId="2" borderId="0" xfId="0" applyFont="1" applyFill="1"/>
    <xf numFmtId="0" fontId="47" fillId="5" borderId="0" xfId="0" applyFont="1" applyFill="1"/>
    <xf numFmtId="0" fontId="48" fillId="5" borderId="0" xfId="13" applyFont="1" applyFill="1"/>
    <xf numFmtId="0" fontId="49" fillId="5" borderId="0" xfId="0" applyFont="1" applyFill="1"/>
    <xf numFmtId="0" fontId="50" fillId="5" borderId="0" xfId="0" applyFont="1" applyFill="1"/>
    <xf numFmtId="0" fontId="51" fillId="4" borderId="0" xfId="0" applyFont="1" applyFill="1"/>
    <xf numFmtId="0" fontId="47" fillId="3" borderId="0" xfId="0" applyFont="1" applyFill="1"/>
    <xf numFmtId="0" fontId="51" fillId="5" borderId="0" xfId="0" applyFont="1" applyFill="1"/>
    <xf numFmtId="0" fontId="53" fillId="5" borderId="0" xfId="0" applyFont="1" applyFill="1"/>
    <xf numFmtId="3" fontId="26" fillId="0" borderId="0" xfId="0" applyNumberFormat="1" applyFont="1"/>
    <xf numFmtId="0" fontId="18" fillId="0" borderId="2" xfId="3" applyNumberFormat="1" applyFont="1" applyBorder="1" applyAlignment="1">
      <alignment horizontal="left"/>
    </xf>
    <xf numFmtId="17" fontId="18" fillId="0" borderId="2" xfId="4" quotePrefix="1" applyNumberFormat="1" applyFont="1" applyBorder="1" applyAlignment="1">
      <alignment horizontal="right" vertical="center"/>
    </xf>
    <xf numFmtId="171" fontId="18" fillId="0" borderId="2" xfId="4" quotePrefix="1" applyNumberFormat="1" applyFont="1" applyBorder="1" applyAlignment="1">
      <alignment horizontal="right" vertical="center"/>
    </xf>
    <xf numFmtId="171" fontId="18" fillId="0" borderId="2" xfId="4" applyNumberFormat="1" applyFont="1" applyBorder="1" applyAlignment="1">
      <alignment horizontal="right" vertical="center"/>
    </xf>
    <xf numFmtId="171" fontId="20" fillId="0" borderId="0" xfId="4" quotePrefix="1" applyNumberFormat="1" applyFont="1" applyAlignment="1">
      <alignment horizontal="right" vertical="center"/>
    </xf>
    <xf numFmtId="171" fontId="18" fillId="0" borderId="0" xfId="3" applyNumberFormat="1" applyFont="1" applyAlignment="1">
      <alignment horizontal="left"/>
    </xf>
    <xf numFmtId="171" fontId="26" fillId="0" borderId="0" xfId="4" quotePrefix="1" applyNumberFormat="1" applyFont="1" applyAlignment="1">
      <alignment horizontal="right" vertical="center"/>
    </xf>
    <xf numFmtId="171" fontId="20" fillId="0" borderId="0" xfId="3" applyNumberFormat="1" applyFont="1" applyAlignment="1">
      <alignment horizontal="left"/>
    </xf>
    <xf numFmtId="171" fontId="18" fillId="0" borderId="2" xfId="3" applyNumberFormat="1" applyFont="1" applyBorder="1" applyAlignment="1">
      <alignment horizontal="left"/>
    </xf>
    <xf numFmtId="171" fontId="25" fillId="0" borderId="2" xfId="4" quotePrefix="1" applyNumberFormat="1" applyFont="1" applyBorder="1" applyAlignment="1">
      <alignment horizontal="right" vertical="center"/>
    </xf>
    <xf numFmtId="0" fontId="0" fillId="5" borderId="0" xfId="0" applyFill="1"/>
    <xf numFmtId="0" fontId="18" fillId="0" borderId="0" xfId="14" applyFont="1"/>
    <xf numFmtId="0" fontId="20" fillId="0" borderId="0" xfId="14" applyFont="1"/>
    <xf numFmtId="166" fontId="26" fillId="0" borderId="0" xfId="2" applyNumberFormat="1" applyFont="1" applyAlignment="1">
      <alignment horizontal="right"/>
    </xf>
    <xf numFmtId="166" fontId="26" fillId="0" borderId="0" xfId="2" applyNumberFormat="1" applyFont="1" applyBorder="1" applyAlignment="1">
      <alignment horizontal="right"/>
    </xf>
    <xf numFmtId="166" fontId="20" fillId="0" borderId="0" xfId="2" applyNumberFormat="1" applyFont="1" applyBorder="1"/>
    <xf numFmtId="1" fontId="20" fillId="0" borderId="0" xfId="0" applyNumberFormat="1" applyFont="1" applyAlignment="1">
      <alignment horizontal="right"/>
    </xf>
    <xf numFmtId="9" fontId="26" fillId="0" borderId="0" xfId="2" applyFont="1" applyBorder="1" applyAlignment="1">
      <alignment horizontal="right"/>
    </xf>
    <xf numFmtId="177" fontId="19" fillId="5" borderId="0" xfId="0" applyNumberFormat="1" applyFont="1" applyFill="1"/>
    <xf numFmtId="171" fontId="25" fillId="9" borderId="2" xfId="1" applyNumberFormat="1" applyFont="1" applyFill="1" applyBorder="1" applyAlignment="1">
      <alignment horizontal="right" vertical="center"/>
    </xf>
    <xf numFmtId="171" fontId="25" fillId="9" borderId="2" xfId="2" applyNumberFormat="1" applyFont="1" applyFill="1" applyBorder="1" applyAlignment="1">
      <alignment horizontal="right" vertical="center"/>
    </xf>
    <xf numFmtId="171" fontId="25" fillId="0" borderId="2" xfId="1" applyNumberFormat="1" applyFont="1" applyFill="1" applyBorder="1" applyAlignment="1">
      <alignment horizontal="right" vertical="center"/>
    </xf>
    <xf numFmtId="171" fontId="56" fillId="5" borderId="0" xfId="0" applyNumberFormat="1" applyFont="1" applyFill="1"/>
    <xf numFmtId="171" fontId="55" fillId="5" borderId="0" xfId="0" applyNumberFormat="1" applyFont="1" applyFill="1"/>
    <xf numFmtId="171" fontId="56" fillId="5" borderId="0" xfId="2" applyNumberFormat="1" applyFont="1" applyFill="1"/>
    <xf numFmtId="171" fontId="57" fillId="5" borderId="0" xfId="2" applyNumberFormat="1" applyFont="1" applyFill="1"/>
    <xf numFmtId="171" fontId="57" fillId="5" borderId="0" xfId="0" applyNumberFormat="1" applyFont="1" applyFill="1"/>
    <xf numFmtId="171" fontId="20" fillId="0" borderId="0" xfId="2" applyNumberFormat="1" applyFont="1" applyFill="1" applyBorder="1" applyAlignment="1">
      <alignment horizontal="right" vertical="center"/>
    </xf>
    <xf numFmtId="166" fontId="18" fillId="0" borderId="0" xfId="2" applyNumberFormat="1" applyFont="1" applyFill="1" applyBorder="1" applyAlignment="1">
      <alignment horizontal="left"/>
    </xf>
    <xf numFmtId="166" fontId="20" fillId="0" borderId="2" xfId="2" applyNumberFormat="1" applyFont="1" applyFill="1" applyBorder="1" applyAlignment="1">
      <alignment horizontal="left"/>
    </xf>
    <xf numFmtId="166" fontId="19" fillId="0" borderId="2" xfId="2" applyNumberFormat="1" applyFont="1" applyFill="1" applyBorder="1" applyAlignment="1">
      <alignment horizontal="right" vertical="center"/>
    </xf>
    <xf numFmtId="171" fontId="20" fillId="0" borderId="2" xfId="4" quotePrefix="1" applyNumberFormat="1" applyFont="1" applyBorder="1" applyAlignment="1">
      <alignment horizontal="right" vertical="center"/>
    </xf>
    <xf numFmtId="171" fontId="55" fillId="5" borderId="0" xfId="2" applyNumberFormat="1" applyFont="1" applyFill="1"/>
    <xf numFmtId="166" fontId="18" fillId="0" borderId="2" xfId="2" applyNumberFormat="1" applyFont="1" applyFill="1" applyBorder="1" applyAlignment="1">
      <alignment horizontal="left"/>
    </xf>
    <xf numFmtId="166" fontId="17" fillId="0" borderId="2" xfId="2" applyNumberFormat="1" applyFont="1" applyFill="1" applyBorder="1" applyAlignment="1">
      <alignment horizontal="right" vertical="center"/>
    </xf>
    <xf numFmtId="166" fontId="0" fillId="0" borderId="0" xfId="2" applyNumberFormat="1" applyFont="1"/>
    <xf numFmtId="0" fontId="17" fillId="9" borderId="0" xfId="0" applyFont="1" applyFill="1"/>
    <xf numFmtId="0" fontId="19" fillId="9" borderId="0" xfId="0" applyFont="1" applyFill="1"/>
    <xf numFmtId="166" fontId="19" fillId="9" borderId="0" xfId="2" applyNumberFormat="1" applyFont="1" applyFill="1"/>
    <xf numFmtId="0" fontId="18" fillId="5" borderId="0" xfId="0" applyFont="1" applyFill="1"/>
    <xf numFmtId="0" fontId="18" fillId="5" borderId="0" xfId="0" applyFont="1" applyFill="1" applyAlignment="1">
      <alignment horizontal="right"/>
    </xf>
    <xf numFmtId="171" fontId="18" fillId="5" borderId="0" xfId="0" applyNumberFormat="1" applyFont="1" applyFill="1" applyAlignment="1">
      <alignment horizontal="right"/>
    </xf>
    <xf numFmtId="171" fontId="18" fillId="5" borderId="0" xfId="0" applyNumberFormat="1" applyFont="1" applyFill="1"/>
    <xf numFmtId="166" fontId="20" fillId="5" borderId="0" xfId="2" applyNumberFormat="1" applyFont="1" applyFill="1"/>
    <xf numFmtId="166" fontId="18" fillId="5" borderId="0" xfId="2" applyNumberFormat="1" applyFont="1" applyFill="1"/>
    <xf numFmtId="0" fontId="52" fillId="5" borderId="0" xfId="0" applyFont="1" applyFill="1" applyAlignment="1">
      <alignment horizontal="left" vertical="top" wrapText="1"/>
    </xf>
    <xf numFmtId="0" fontId="52" fillId="0" borderId="0" xfId="0" applyFont="1"/>
  </cellXfs>
  <cellStyles count="23">
    <cellStyle name="%" xfId="14" xr:uid="{00000000-0005-0000-0000-000000000000}"/>
    <cellStyle name="% 2 3" xfId="15" xr:uid="{00000000-0005-0000-0000-000001000000}"/>
    <cellStyle name="Comma" xfId="1" builtinId="3"/>
    <cellStyle name="Comma 10" xfId="8" xr:uid="{00000000-0005-0000-0000-000003000000}"/>
    <cellStyle name="Comma 2" xfId="9" xr:uid="{00000000-0005-0000-0000-000004000000}"/>
    <cellStyle name="Comma 3" xfId="6" xr:uid="{00000000-0005-0000-0000-000005000000}"/>
    <cellStyle name="Comma 3 3" xfId="21" xr:uid="{7F0F3079-E724-4A14-9F02-5B146CDDF22B}"/>
    <cellStyle name="Comma_IFRS_Segment_Consol_BAL_March 2009" xfId="10" xr:uid="{00000000-0005-0000-0000-000006000000}"/>
    <cellStyle name="Comma_IFRS_Segment_Consol_BAL_March 2009 2" xfId="7" xr:uid="{00000000-0005-0000-0000-000007000000}"/>
    <cellStyle name="Hyperlink" xfId="13" builtinId="8"/>
    <cellStyle name="Normal" xfId="0" builtinId="0"/>
    <cellStyle name="Normal 10" xfId="16" xr:uid="{00000000-0005-0000-0000-00000A000000}"/>
    <cellStyle name="Normal 2" xfId="5" xr:uid="{00000000-0005-0000-0000-00000B000000}"/>
    <cellStyle name="Normal 3" xfId="3" xr:uid="{00000000-0005-0000-0000-00000C000000}"/>
    <cellStyle name="Normal 4 3" xfId="20" xr:uid="{A92CAF9C-E754-4E48-A468-61276F6D934F}"/>
    <cellStyle name="Normal 7 2" xfId="19" xr:uid="{04E59806-FB33-4212-A94B-0ED86439B103}"/>
    <cellStyle name="Normal_FTsummod1" xfId="17" xr:uid="{B01156D1-EF21-4C71-9846-0A133C9F761D}"/>
    <cellStyle name="Normal_Reconciliation" xfId="4" xr:uid="{00000000-0005-0000-0000-00000D000000}"/>
    <cellStyle name="Percent" xfId="2" builtinId="5"/>
    <cellStyle name="Percent 2" xfId="18" xr:uid="{D89C4B1C-8D2D-4C5A-8FF7-AB2235EB5445}"/>
    <cellStyle name="Percent 2 2" xfId="22" xr:uid="{939F0249-F65C-4C51-8867-E3F03E691B32}"/>
    <cellStyle name="Style 1" xfId="12" xr:uid="{00000000-0005-0000-0000-00000F000000}"/>
    <cellStyle name="Style 1 3" xfId="11" xr:uid="{00000000-0005-0000-0000-000010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externalLink" Target="externalLinks/externalLink14.xml"/><Relationship Id="rId28" Type="http://schemas.openxmlformats.org/officeDocument/2006/relationships/calcChain" Target="calcChain.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externalLink" Target="externalLinks/externalLink13.xml"/><Relationship Id="rId27" Type="http://schemas.openxmlformats.org/officeDocument/2006/relationships/sheetMetadata" Target="metadata.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Charts!$AA$16</c:f>
              <c:strCache>
                <c:ptCount val="1"/>
                <c:pt idx="0">
                  <c:v>Service Revenues</c:v>
                </c:pt>
              </c:strCache>
            </c:strRef>
          </c:tx>
          <c:spPr>
            <a:solidFill>
              <a:srgbClr val="263238"/>
            </a:solidFill>
            <a:ln>
              <a:noFill/>
            </a:ln>
            <a:effectLst/>
          </c:spPr>
          <c:invertIfNegative val="0"/>
          <c:cat>
            <c:strRef>
              <c:f>Charts!$AB$15:$AU$15</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Charts!$AB$16:$AU$16</c:f>
              <c:numCache>
                <c:formatCode>#,##0_);\(#,##0\)</c:formatCode>
                <c:ptCount val="20"/>
                <c:pt idx="0">
                  <c:v>5416.491</c:v>
                </c:pt>
                <c:pt idx="1">
                  <c:v>5702.2049999999999</c:v>
                </c:pt>
                <c:pt idx="2">
                  <c:v>5938.03</c:v>
                </c:pt>
                <c:pt idx="3">
                  <c:v>5893.9310000000005</c:v>
                </c:pt>
                <c:pt idx="4">
                  <c:v>6007.1940000000004</c:v>
                </c:pt>
                <c:pt idx="5">
                  <c:v>6179.2209999999995</c:v>
                </c:pt>
                <c:pt idx="6">
                  <c:v>6149.0410000000002</c:v>
                </c:pt>
                <c:pt idx="7">
                  <c:v>5877.299</c:v>
                </c:pt>
                <c:pt idx="8">
                  <c:v>5787.55</c:v>
                </c:pt>
                <c:pt idx="9">
                  <c:v>6279.5730000000003</c:v>
                </c:pt>
                <c:pt idx="10">
                  <c:v>6339.808</c:v>
                </c:pt>
                <c:pt idx="11">
                  <c:v>6399.6030000000001</c:v>
                </c:pt>
                <c:pt idx="12">
                  <c:v>6481.942</c:v>
                </c:pt>
                <c:pt idx="13">
                  <c:v>6915.7349999999997</c:v>
                </c:pt>
                <c:pt idx="14">
                  <c:v>7106.4489999999996</c:v>
                </c:pt>
                <c:pt idx="15">
                  <c:v>7303.9309999999996</c:v>
                </c:pt>
                <c:pt idx="16">
                  <c:v>7295.3689999999997</c:v>
                </c:pt>
                <c:pt idx="17">
                  <c:v>7885.442</c:v>
                </c:pt>
                <c:pt idx="18">
                  <c:v>7678.3300000000008</c:v>
                </c:pt>
                <c:pt idx="19">
                  <c:v>8048.0879999999988</c:v>
                </c:pt>
              </c:numCache>
            </c:numRef>
          </c:val>
          <c:extLst>
            <c:ext xmlns:c16="http://schemas.microsoft.com/office/drawing/2014/chart" uri="{C3380CC4-5D6E-409C-BE32-E72D297353CC}">
              <c16:uniqueId val="{00000000-7705-4F33-B2A2-A491159F3B5C}"/>
            </c:ext>
          </c:extLst>
        </c:ser>
        <c:dLbls>
          <c:showLegendKey val="0"/>
          <c:showVal val="0"/>
          <c:showCatName val="0"/>
          <c:showSerName val="0"/>
          <c:showPercent val="0"/>
          <c:showBubbleSize val="0"/>
        </c:dLbls>
        <c:gapWidth val="75"/>
        <c:axId val="436501656"/>
        <c:axId val="436497392"/>
      </c:barChart>
      <c:lineChart>
        <c:grouping val="standard"/>
        <c:varyColors val="0"/>
        <c:ser>
          <c:idx val="1"/>
          <c:order val="1"/>
          <c:tx>
            <c:strRef>
              <c:f>Charts!$AA$22</c:f>
              <c:strCache>
                <c:ptCount val="1"/>
                <c:pt idx="0">
                  <c:v>Group Service Revenue (Ex-IC) Growth YoY</c:v>
                </c:pt>
              </c:strCache>
            </c:strRef>
          </c:tx>
          <c:spPr>
            <a:ln w="28575" cap="rnd">
              <a:solidFill>
                <a:schemeClr val="accent2"/>
              </a:solidFill>
              <a:round/>
            </a:ln>
            <a:effectLst/>
          </c:spPr>
          <c:marker>
            <c:symbol val="none"/>
          </c:marker>
          <c:cat>
            <c:strRef>
              <c:f>Charts!$AB$15:$AU$15</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Charts!$AB$22:$AU$22</c:f>
              <c:numCache>
                <c:formatCode>0%</c:formatCode>
                <c:ptCount val="20"/>
                <c:pt idx="0">
                  <c:v>0.11601921373518742</c:v>
                </c:pt>
                <c:pt idx="1">
                  <c:v>0.17762400697049041</c:v>
                </c:pt>
                <c:pt idx="2">
                  <c:v>0.1764965781122021</c:v>
                </c:pt>
                <c:pt idx="3">
                  <c:v>0.10308872201165031</c:v>
                </c:pt>
                <c:pt idx="4">
                  <c:v>0.10905639832134861</c:v>
                </c:pt>
                <c:pt idx="5">
                  <c:v>8.3654656400462546E-2</c:v>
                </c:pt>
                <c:pt idx="6">
                  <c:v>3.5535522723866508E-2</c:v>
                </c:pt>
                <c:pt idx="7">
                  <c:v>0</c:v>
                </c:pt>
                <c:pt idx="8">
                  <c:v>-3.6563493704381833E-2</c:v>
                </c:pt>
                <c:pt idx="9">
                  <c:v>1.6240234812770149E-2</c:v>
                </c:pt>
                <c:pt idx="10">
                  <c:v>3.0826945033436637E-2</c:v>
                </c:pt>
                <c:pt idx="11">
                  <c:v>8.8868032747695835E-2</c:v>
                </c:pt>
                <c:pt idx="12">
                  <c:v>0.11998030254598224</c:v>
                </c:pt>
                <c:pt idx="13">
                  <c:v>0.10130656973013918</c:v>
                </c:pt>
                <c:pt idx="14">
                  <c:v>0.1209249554560643</c:v>
                </c:pt>
                <c:pt idx="15">
                  <c:v>0.14131001563690737</c:v>
                </c:pt>
                <c:pt idx="16">
                  <c:v>0.12549124938174394</c:v>
                </c:pt>
                <c:pt idx="17">
                  <c:v>0.14021748953654245</c:v>
                </c:pt>
                <c:pt idx="18">
                  <c:v>8.0473524822312958E-2</c:v>
                </c:pt>
                <c:pt idx="19">
                  <c:v>0.10188445098947385</c:v>
                </c:pt>
              </c:numCache>
            </c:numRef>
          </c:val>
          <c:smooth val="0"/>
          <c:extLst>
            <c:ext xmlns:c16="http://schemas.microsoft.com/office/drawing/2014/chart" uri="{C3380CC4-5D6E-409C-BE32-E72D297353CC}">
              <c16:uniqueId val="{00000001-A9F7-4FF5-B3E9-8061CF125BF8}"/>
            </c:ext>
          </c:extLst>
        </c:ser>
        <c:dLbls>
          <c:showLegendKey val="0"/>
          <c:showVal val="0"/>
          <c:showCatName val="0"/>
          <c:showSerName val="0"/>
          <c:showPercent val="0"/>
          <c:showBubbleSize val="0"/>
        </c:dLbls>
        <c:marker val="1"/>
        <c:smooth val="0"/>
        <c:axId val="1823481855"/>
        <c:axId val="1823478495"/>
      </c:lineChart>
      <c:catAx>
        <c:axId val="436501656"/>
        <c:scaling>
          <c:orientation val="minMax"/>
        </c:scaling>
        <c:delete val="0"/>
        <c:axPos val="b"/>
        <c:numFmt formatCode="General" sourceLinked="1"/>
        <c:majorTickMark val="out"/>
        <c:minorTickMark val="none"/>
        <c:tickLblPos val="nextTo"/>
        <c:spPr>
          <a:noFill/>
          <a:ln w="9525" cap="flat" cmpd="sng" algn="ctr">
            <a:solidFill>
              <a:srgbClr val="D9D9D9"/>
            </a:solidFill>
            <a:round/>
          </a:ln>
          <a:effectLst/>
        </c:spPr>
        <c:txPr>
          <a:bodyPr rot="-60000000" spcFirstLastPara="1" vertOverflow="ellipsis" vert="horz" wrap="square" anchor="ctr" anchorCtr="1"/>
          <a:lstStyle/>
          <a:p>
            <a:pPr>
              <a:defRPr sz="1200" b="0" i="0" u="none" strike="noStrike" kern="1200" baseline="0">
                <a:solidFill>
                  <a:srgbClr val="595959"/>
                </a:solidFill>
                <a:latin typeface="Roboto" pitchFamily="2" charset="0"/>
                <a:ea typeface="Roboto" pitchFamily="2" charset="0"/>
                <a:cs typeface="+mn-cs"/>
              </a:defRPr>
            </a:pPr>
            <a:endParaRPr lang="en-US"/>
          </a:p>
        </c:txPr>
        <c:crossAx val="436497392"/>
        <c:crosses val="autoZero"/>
        <c:auto val="1"/>
        <c:lblAlgn val="ctr"/>
        <c:lblOffset val="100"/>
        <c:noMultiLvlLbl val="0"/>
      </c:catAx>
      <c:valAx>
        <c:axId val="436497392"/>
        <c:scaling>
          <c:orientation val="minMax"/>
        </c:scaling>
        <c:delete val="0"/>
        <c:axPos val="l"/>
        <c:numFmt formatCode="#,##0_);\(#,##0\)"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crossAx val="436501656"/>
        <c:crosses val="autoZero"/>
        <c:crossBetween val="between"/>
      </c:valAx>
      <c:valAx>
        <c:axId val="1823478495"/>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crossAx val="1823481855"/>
        <c:crosses val="max"/>
        <c:crossBetween val="between"/>
      </c:valAx>
      <c:catAx>
        <c:axId val="1823481855"/>
        <c:scaling>
          <c:orientation val="minMax"/>
        </c:scaling>
        <c:delete val="1"/>
        <c:axPos val="b"/>
        <c:numFmt formatCode="General" sourceLinked="1"/>
        <c:majorTickMark val="out"/>
        <c:minorTickMark val="none"/>
        <c:tickLblPos val="nextTo"/>
        <c:crossAx val="1823478495"/>
        <c:crosses val="autoZero"/>
        <c:auto val="1"/>
        <c:lblAlgn val="ctr"/>
        <c:lblOffset val="100"/>
        <c:noMultiLvlLbl val="0"/>
      </c:catAx>
      <c:spPr>
        <a:noFill/>
        <a:ln w="25400">
          <a:noFill/>
        </a:ln>
        <a:effectLst/>
      </c:spPr>
    </c:plotArea>
    <c:plotVisOnly val="1"/>
    <c:dispBlanksAs val="gap"/>
    <c:showDLblsOverMax val="0"/>
    <c:extLst/>
  </c:chart>
  <c:spPr>
    <a:noFill/>
    <a:ln w="9525" cap="flat" cmpd="sng" algn="ctr">
      <a:noFill/>
      <a:round/>
    </a:ln>
    <a:effectLst/>
  </c:spPr>
  <c:txPr>
    <a:bodyPr/>
    <a:lstStyle/>
    <a:p>
      <a:pPr>
        <a:defRPr sz="1200">
          <a:solidFill>
            <a:schemeClr val="tx1"/>
          </a:solidFil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barChart>
        <c:barDir val="col"/>
        <c:grouping val="clustered"/>
        <c:varyColors val="0"/>
        <c:ser>
          <c:idx val="0"/>
          <c:order val="0"/>
          <c:tx>
            <c:strRef>
              <c:f>Charts!$AA$62</c:f>
              <c:strCache>
                <c:ptCount val="1"/>
                <c:pt idx="0">
                  <c:v>Infrastructure Exp YoY %</c:v>
                </c:pt>
              </c:strCache>
            </c:strRef>
          </c:tx>
          <c:spPr>
            <a:solidFill>
              <a:srgbClr val="000080"/>
            </a:solidFill>
            <a:ln w="25400">
              <a:noFill/>
            </a:ln>
            <a:effectLst/>
          </c:spPr>
          <c:invertIfNegative val="0"/>
          <c:cat>
            <c:strRef>
              <c:f>Charts!$AB$61:$AU$61</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Charts!$AB$62:$AU$62</c:f>
              <c:numCache>
                <c:formatCode>0%</c:formatCode>
                <c:ptCount val="20"/>
                <c:pt idx="0">
                  <c:v>9.3050952266454101E-3</c:v>
                </c:pt>
                <c:pt idx="1">
                  <c:v>1.6288680956559498E-2</c:v>
                </c:pt>
                <c:pt idx="2">
                  <c:v>3.8794958524657197E-5</c:v>
                </c:pt>
                <c:pt idx="3">
                  <c:v>8.3491247799734603E-3</c:v>
                </c:pt>
                <c:pt idx="4">
                  <c:v>-7.5397410022004174E-2</c:v>
                </c:pt>
                <c:pt idx="5">
                  <c:v>-5.9286083986862637E-2</c:v>
                </c:pt>
                <c:pt idx="6">
                  <c:v>-8.581922959702909E-2</c:v>
                </c:pt>
                <c:pt idx="7">
                  <c:v>-6.1153276473260521E-2</c:v>
                </c:pt>
                <c:pt idx="8">
                  <c:v>3.2555164554239902E-3</c:v>
                </c:pt>
                <c:pt idx="9">
                  <c:v>-2.4513372778086129E-2</c:v>
                </c:pt>
                <c:pt idx="10">
                  <c:v>6.9289710708417829E-3</c:v>
                </c:pt>
                <c:pt idx="11">
                  <c:v>-1.6140565451858213E-2</c:v>
                </c:pt>
                <c:pt idx="12">
                  <c:v>-2.0525211955766287E-2</c:v>
                </c:pt>
                <c:pt idx="13">
                  <c:v>-7.848390140921091E-3</c:v>
                </c:pt>
                <c:pt idx="14">
                  <c:v>-2.9017618296631686E-2</c:v>
                </c:pt>
                <c:pt idx="15">
                  <c:v>-7.3326663581392143E-2</c:v>
                </c:pt>
                <c:pt idx="16">
                  <c:v>1.4056371123108147E-2</c:v>
                </c:pt>
                <c:pt idx="17">
                  <c:v>-2.1943654131805879E-2</c:v>
                </c:pt>
                <c:pt idx="18">
                  <c:v>1.7386660459277059E-3</c:v>
                </c:pt>
                <c:pt idx="19">
                  <c:v>5.6598891282136493E-2</c:v>
                </c:pt>
              </c:numCache>
            </c:numRef>
          </c:val>
          <c:extLst>
            <c:ext xmlns:c16="http://schemas.microsoft.com/office/drawing/2014/chart" uri="{C3380CC4-5D6E-409C-BE32-E72D297353CC}">
              <c16:uniqueId val="{00000000-3B73-45AF-A8A0-321CCF4B2F73}"/>
            </c:ext>
          </c:extLst>
        </c:ser>
        <c:dLbls>
          <c:showLegendKey val="0"/>
          <c:showVal val="0"/>
          <c:showCatName val="0"/>
          <c:showSerName val="0"/>
          <c:showPercent val="0"/>
          <c:showBubbleSize val="0"/>
        </c:dLbls>
        <c:gapWidth val="219"/>
        <c:overlap val="-27"/>
        <c:axId val="690782224"/>
        <c:axId val="690786928"/>
      </c:barChart>
      <c:catAx>
        <c:axId val="69078222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6928"/>
        <c:crosses val="autoZero"/>
        <c:auto val="1"/>
        <c:lblAlgn val="ctr"/>
        <c:lblOffset val="100"/>
        <c:noMultiLvlLbl val="0"/>
      </c:catAx>
      <c:valAx>
        <c:axId val="690786928"/>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222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barChart>
        <c:barDir val="col"/>
        <c:grouping val="clustered"/>
        <c:varyColors val="0"/>
        <c:ser>
          <c:idx val="0"/>
          <c:order val="0"/>
          <c:tx>
            <c:strRef>
              <c:f>Charts!$AA$72</c:f>
              <c:strCache>
                <c:ptCount val="1"/>
                <c:pt idx="0">
                  <c:v>Infrastructure Exp %</c:v>
                </c:pt>
              </c:strCache>
            </c:strRef>
          </c:tx>
          <c:spPr>
            <a:solidFill>
              <a:srgbClr val="000080"/>
            </a:solidFill>
            <a:ln w="25400">
              <a:noFill/>
            </a:ln>
            <a:effectLst/>
          </c:spPr>
          <c:invertIfNegative val="0"/>
          <c:cat>
            <c:strRef>
              <c:f>Charts!$AB$71:$AU$71</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Charts!$AB$72:$AU$72</c:f>
              <c:numCache>
                <c:formatCode>0%</c:formatCode>
                <c:ptCount val="20"/>
                <c:pt idx="0">
                  <c:v>0.38812017112144609</c:v>
                </c:pt>
                <c:pt idx="1">
                  <c:v>0.37410934390951422</c:v>
                </c:pt>
                <c:pt idx="2">
                  <c:v>0.37532723166152848</c:v>
                </c:pt>
                <c:pt idx="3">
                  <c:v>0.37053613896976606</c:v>
                </c:pt>
                <c:pt idx="4">
                  <c:v>0.31272276109944191</c:v>
                </c:pt>
                <c:pt idx="5">
                  <c:v>0.31482325992265159</c:v>
                </c:pt>
                <c:pt idx="6">
                  <c:v>0.28950800206449939</c:v>
                </c:pt>
                <c:pt idx="7">
                  <c:v>0.30938286249650554</c:v>
                </c:pt>
                <c:pt idx="8">
                  <c:v>0.31597827755486591</c:v>
                </c:pt>
                <c:pt idx="9">
                  <c:v>0.29030988714456546</c:v>
                </c:pt>
                <c:pt idx="10">
                  <c:v>0.29643697313534118</c:v>
                </c:pt>
                <c:pt idx="11">
                  <c:v>0.29324229704464733</c:v>
                </c:pt>
                <c:pt idx="12">
                  <c:v>0.29545306559909962</c:v>
                </c:pt>
                <c:pt idx="13">
                  <c:v>0.28246149700364437</c:v>
                </c:pt>
                <c:pt idx="14">
                  <c:v>0.26741935483870949</c:v>
                </c:pt>
                <c:pt idx="15">
                  <c:v>0.21991563346325518</c:v>
                </c:pt>
                <c:pt idx="16">
                  <c:v>0.30950943672220776</c:v>
                </c:pt>
                <c:pt idx="17">
                  <c:v>0.26051784287183849</c:v>
                </c:pt>
                <c:pt idx="18">
                  <c:v>0.26915802088463719</c:v>
                </c:pt>
                <c:pt idx="19">
                  <c:v>0.27651452474539168</c:v>
                </c:pt>
              </c:numCache>
            </c:numRef>
          </c:val>
          <c:extLst>
            <c:ext xmlns:c16="http://schemas.microsoft.com/office/drawing/2014/chart" uri="{C3380CC4-5D6E-409C-BE32-E72D297353CC}">
              <c16:uniqueId val="{00000000-EA8C-42EC-8CC3-352800D2E7A1}"/>
            </c:ext>
          </c:extLst>
        </c:ser>
        <c:dLbls>
          <c:showLegendKey val="0"/>
          <c:showVal val="0"/>
          <c:showCatName val="0"/>
          <c:showSerName val="0"/>
          <c:showPercent val="0"/>
          <c:showBubbleSize val="0"/>
        </c:dLbls>
        <c:gapWidth val="219"/>
        <c:overlap val="-27"/>
        <c:axId val="690787712"/>
        <c:axId val="690783400"/>
      </c:barChart>
      <c:catAx>
        <c:axId val="690787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3400"/>
        <c:crosses val="autoZero"/>
        <c:auto val="1"/>
        <c:lblAlgn val="ctr"/>
        <c:lblOffset val="100"/>
        <c:noMultiLvlLbl val="0"/>
      </c:catAx>
      <c:valAx>
        <c:axId val="690783400"/>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771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barChart>
        <c:barDir val="col"/>
        <c:grouping val="clustered"/>
        <c:varyColors val="0"/>
        <c:ser>
          <c:idx val="0"/>
          <c:order val="0"/>
          <c:tx>
            <c:strRef>
              <c:f>Charts!$AA$78</c:f>
              <c:strCache>
                <c:ptCount val="1"/>
                <c:pt idx="0">
                  <c:v>Sales and Marketing %</c:v>
                </c:pt>
              </c:strCache>
            </c:strRef>
          </c:tx>
          <c:spPr>
            <a:solidFill>
              <a:srgbClr val="000080"/>
            </a:solidFill>
            <a:ln w="25400">
              <a:noFill/>
            </a:ln>
            <a:effectLst/>
          </c:spPr>
          <c:invertIfNegative val="0"/>
          <c:cat>
            <c:strRef>
              <c:f>Charts!$AB$77:$AU$77</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Charts!$AB$78:$AU$78</c:f>
              <c:numCache>
                <c:formatCode>0%</c:formatCode>
                <c:ptCount val="20"/>
                <c:pt idx="0">
                  <c:v>7.6585025130613493E-2</c:v>
                </c:pt>
                <c:pt idx="1">
                  <c:v>7.7906323211076059E-2</c:v>
                </c:pt>
                <c:pt idx="2">
                  <c:v>7.6117476495248151E-2</c:v>
                </c:pt>
                <c:pt idx="3">
                  <c:v>8.2809212875818924E-2</c:v>
                </c:pt>
                <c:pt idx="4">
                  <c:v>6.9722867761577351E-2</c:v>
                </c:pt>
                <c:pt idx="5">
                  <c:v>6.6059135226694446E-2</c:v>
                </c:pt>
                <c:pt idx="6">
                  <c:v>7.1454311391664513E-2</c:v>
                </c:pt>
                <c:pt idx="7">
                  <c:v>7.0434589066108569E-2</c:v>
                </c:pt>
                <c:pt idx="8">
                  <c:v>8.4057705627158211E-2</c:v>
                </c:pt>
                <c:pt idx="9">
                  <c:v>9.5145474038611899E-2</c:v>
                </c:pt>
                <c:pt idx="10">
                  <c:v>0.10580935172225471</c:v>
                </c:pt>
                <c:pt idx="11">
                  <c:v>9.7721595367865635E-2</c:v>
                </c:pt>
                <c:pt idx="12">
                  <c:v>0.10807366117680074</c:v>
                </c:pt>
                <c:pt idx="13">
                  <c:v>8.9300167563534566E-2</c:v>
                </c:pt>
                <c:pt idx="14">
                  <c:v>7.8721910485865479E-2</c:v>
                </c:pt>
                <c:pt idx="15">
                  <c:v>8.513880566517823E-2</c:v>
                </c:pt>
                <c:pt idx="16">
                  <c:v>7.4914896988654528E-2</c:v>
                </c:pt>
                <c:pt idx="17">
                  <c:v>7.4630503834455589E-2</c:v>
                </c:pt>
                <c:pt idx="18">
                  <c:v>7.7240973003884716E-2</c:v>
                </c:pt>
                <c:pt idx="19">
                  <c:v>7.6903697961654457E-2</c:v>
                </c:pt>
              </c:numCache>
            </c:numRef>
          </c:val>
          <c:extLst>
            <c:ext xmlns:c16="http://schemas.microsoft.com/office/drawing/2014/chart" uri="{C3380CC4-5D6E-409C-BE32-E72D297353CC}">
              <c16:uniqueId val="{00000000-14B1-4588-9A32-43F37B576F53}"/>
            </c:ext>
          </c:extLst>
        </c:ser>
        <c:dLbls>
          <c:showLegendKey val="0"/>
          <c:showVal val="0"/>
          <c:showCatName val="0"/>
          <c:showSerName val="0"/>
          <c:showPercent val="0"/>
          <c:showBubbleSize val="0"/>
        </c:dLbls>
        <c:gapWidth val="219"/>
        <c:overlap val="-27"/>
        <c:axId val="690788104"/>
        <c:axId val="690782616"/>
      </c:barChart>
      <c:catAx>
        <c:axId val="690788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2616"/>
        <c:crosses val="autoZero"/>
        <c:auto val="1"/>
        <c:lblAlgn val="ctr"/>
        <c:lblOffset val="100"/>
        <c:noMultiLvlLbl val="0"/>
      </c:catAx>
      <c:valAx>
        <c:axId val="690782616"/>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810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Charts!$AA$90</c:f>
              <c:strCache>
                <c:ptCount val="1"/>
                <c:pt idx="0">
                  <c:v>Interconnect YoY</c:v>
                </c:pt>
              </c:strCache>
            </c:strRef>
          </c:tx>
          <c:spPr>
            <a:ln w="25400" cap="rnd">
              <a:solidFill>
                <a:srgbClr val="333399"/>
              </a:solidFill>
              <a:prstDash val="solid"/>
              <a:round/>
            </a:ln>
            <a:effectLst/>
          </c:spPr>
          <c:marker>
            <c:symbol val="none"/>
          </c:marker>
          <c:cat>
            <c:strRef>
              <c:f>Charts!$AB$89:$AU$89</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Charts!$AB$90:$AU$90</c:f>
              <c:numCache>
                <c:formatCode>0%</c:formatCode>
                <c:ptCount val="20"/>
                <c:pt idx="0">
                  <c:v>-8.2304526748971152E-2</c:v>
                </c:pt>
                <c:pt idx="1">
                  <c:v>-0.15686274509803921</c:v>
                </c:pt>
                <c:pt idx="2">
                  <c:v>-0.28674351585014413</c:v>
                </c:pt>
                <c:pt idx="3">
                  <c:v>-0.27186009538950717</c:v>
                </c:pt>
                <c:pt idx="4">
                  <c:v>-3.5558295964125519E-2</c:v>
                </c:pt>
                <c:pt idx="5">
                  <c:v>-0.25097286821705433</c:v>
                </c:pt>
                <c:pt idx="6">
                  <c:v>-0.22585454545454575</c:v>
                </c:pt>
                <c:pt idx="7">
                  <c:v>-0.21200218340611365</c:v>
                </c:pt>
                <c:pt idx="8">
                  <c:v>-0.2067461599800996</c:v>
                </c:pt>
                <c:pt idx="9">
                  <c:v>-9.6574885251670017E-2</c:v>
                </c:pt>
                <c:pt idx="10">
                  <c:v>-0.10958450112473261</c:v>
                </c:pt>
                <c:pt idx="11">
                  <c:v>0.39806817898438096</c:v>
                </c:pt>
                <c:pt idx="12">
                  <c:v>0.36622207373150339</c:v>
                </c:pt>
                <c:pt idx="13">
                  <c:v>0.95126757013735319</c:v>
                </c:pt>
                <c:pt idx="14">
                  <c:v>1.5502258146766343</c:v>
                </c:pt>
                <c:pt idx="15">
                  <c:v>0.7020910998935721</c:v>
                </c:pt>
                <c:pt idx="16">
                  <c:v>0.39188707982066617</c:v>
                </c:pt>
                <c:pt idx="17">
                  <c:v>0.30286734142733041</c:v>
                </c:pt>
                <c:pt idx="18">
                  <c:v>-9.9434586742667919E-2</c:v>
                </c:pt>
                <c:pt idx="19">
                  <c:v>-7.8840826763266758E-3</c:v>
                </c:pt>
              </c:numCache>
            </c:numRef>
          </c:val>
          <c:smooth val="0"/>
          <c:extLst>
            <c:ext xmlns:c16="http://schemas.microsoft.com/office/drawing/2014/chart" uri="{C3380CC4-5D6E-409C-BE32-E72D297353CC}">
              <c16:uniqueId val="{00000000-AE94-4FEE-9EFB-F4BEA1B515BA}"/>
            </c:ext>
          </c:extLst>
        </c:ser>
        <c:ser>
          <c:idx val="1"/>
          <c:order val="1"/>
          <c:tx>
            <c:strRef>
              <c:f>Charts!$AA$91</c:f>
              <c:strCache>
                <c:ptCount val="1"/>
                <c:pt idx="0">
                  <c:v>Salaries and Benefits YoY</c:v>
                </c:pt>
              </c:strCache>
            </c:strRef>
          </c:tx>
          <c:spPr>
            <a:ln w="25400" cap="rnd">
              <a:solidFill>
                <a:srgbClr val="99CCFF"/>
              </a:solidFill>
              <a:prstDash val="solid"/>
              <a:round/>
            </a:ln>
            <a:effectLst/>
          </c:spPr>
          <c:marker>
            <c:symbol val="none"/>
          </c:marker>
          <c:cat>
            <c:strRef>
              <c:f>Charts!$AB$89:$AU$89</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Charts!$AB$91:$AU$91</c:f>
              <c:numCache>
                <c:formatCode>0%</c:formatCode>
                <c:ptCount val="20"/>
                <c:pt idx="0">
                  <c:v>0.14448669201520903</c:v>
                </c:pt>
                <c:pt idx="1">
                  <c:v>0.2234848484848484</c:v>
                </c:pt>
                <c:pt idx="2">
                  <c:v>0.41025641025641035</c:v>
                </c:pt>
                <c:pt idx="3">
                  <c:v>0.17753623188405787</c:v>
                </c:pt>
                <c:pt idx="4">
                  <c:v>1.9933554817275656E-2</c:v>
                </c:pt>
                <c:pt idx="5">
                  <c:v>-5.8823529411764719E-2</c:v>
                </c:pt>
                <c:pt idx="6">
                  <c:v>3.4036363636363642E-2</c:v>
                </c:pt>
                <c:pt idx="7">
                  <c:v>-9.1323076923078839E-3</c:v>
                </c:pt>
                <c:pt idx="8">
                  <c:v>-0.23362214983713359</c:v>
                </c:pt>
                <c:pt idx="9">
                  <c:v>0.11385197368421052</c:v>
                </c:pt>
                <c:pt idx="10">
                  <c:v>-0.32581352276457076</c:v>
                </c:pt>
                <c:pt idx="11">
                  <c:v>-0.15580439211010078</c:v>
                </c:pt>
                <c:pt idx="12">
                  <c:v>0.25649231972390107</c:v>
                </c:pt>
                <c:pt idx="13">
                  <c:v>-0.19629013824122665</c:v>
                </c:pt>
                <c:pt idx="14">
                  <c:v>0.41319864031922937</c:v>
                </c:pt>
                <c:pt idx="15">
                  <c:v>0.59144479838739383</c:v>
                </c:pt>
                <c:pt idx="16">
                  <c:v>0.11979365750528537</c:v>
                </c:pt>
                <c:pt idx="17">
                  <c:v>0.35361663818920075</c:v>
                </c:pt>
                <c:pt idx="18">
                  <c:v>0.1068770146903224</c:v>
                </c:pt>
                <c:pt idx="19">
                  <c:v>-0.20728908324800632</c:v>
                </c:pt>
              </c:numCache>
            </c:numRef>
          </c:val>
          <c:smooth val="0"/>
          <c:extLst>
            <c:ext xmlns:c16="http://schemas.microsoft.com/office/drawing/2014/chart" uri="{C3380CC4-5D6E-409C-BE32-E72D297353CC}">
              <c16:uniqueId val="{00000001-AE94-4FEE-9EFB-F4BEA1B515BA}"/>
            </c:ext>
          </c:extLst>
        </c:ser>
        <c:ser>
          <c:idx val="2"/>
          <c:order val="2"/>
          <c:tx>
            <c:strRef>
              <c:f>Charts!$AA$92</c:f>
              <c:strCache>
                <c:ptCount val="1"/>
                <c:pt idx="0">
                  <c:v>Sales and Marketing YoY</c:v>
                </c:pt>
              </c:strCache>
            </c:strRef>
          </c:tx>
          <c:spPr>
            <a:ln w="25400" cap="rnd">
              <a:solidFill>
                <a:srgbClr val="333399"/>
              </a:solidFill>
              <a:prstDash val="lgDash"/>
              <a:round/>
            </a:ln>
            <a:effectLst/>
          </c:spPr>
          <c:marker>
            <c:symbol val="none"/>
          </c:marker>
          <c:cat>
            <c:strRef>
              <c:f>Charts!$AB$89:$AU$89</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Charts!$AB$92:$AU$92</c:f>
              <c:numCache>
                <c:formatCode>0%</c:formatCode>
                <c:ptCount val="20"/>
                <c:pt idx="0">
                  <c:v>-0.20244328097731235</c:v>
                </c:pt>
                <c:pt idx="1">
                  <c:v>-0.14634146341463417</c:v>
                </c:pt>
                <c:pt idx="2">
                  <c:v>0.12328767123287676</c:v>
                </c:pt>
                <c:pt idx="3">
                  <c:v>0.16960352422907499</c:v>
                </c:pt>
                <c:pt idx="4">
                  <c:v>-8.7527352297592786E-3</c:v>
                </c:pt>
                <c:pt idx="5">
                  <c:v>-0.11224489795918369</c:v>
                </c:pt>
                <c:pt idx="6">
                  <c:v>-4.5243902439024319E-2</c:v>
                </c:pt>
                <c:pt idx="7">
                  <c:v>-0.15731261770244798</c:v>
                </c:pt>
                <c:pt idx="8">
                  <c:v>0.15924724061810158</c:v>
                </c:pt>
                <c:pt idx="9">
                  <c:v>0.47132873563218358</c:v>
                </c:pt>
                <c:pt idx="10">
                  <c:v>0.53756120407033725</c:v>
                </c:pt>
                <c:pt idx="11">
                  <c:v>0.5186415981513719</c:v>
                </c:pt>
                <c:pt idx="12">
                  <c:v>0.38751644802614171</c:v>
                </c:pt>
                <c:pt idx="13">
                  <c:v>2.3103676714143706E-2</c:v>
                </c:pt>
                <c:pt idx="14">
                  <c:v>-0.18029391322166444</c:v>
                </c:pt>
                <c:pt idx="15">
                  <c:v>-5.4498471029016726E-2</c:v>
                </c:pt>
                <c:pt idx="16">
                  <c:v>-0.22402314452012584</c:v>
                </c:pt>
                <c:pt idx="17">
                  <c:v>-6.3469834991562335E-2</c:v>
                </c:pt>
                <c:pt idx="18">
                  <c:v>5.7207669803862826E-2</c:v>
                </c:pt>
                <c:pt idx="19">
                  <c:v>1.1985842977831451E-2</c:v>
                </c:pt>
              </c:numCache>
            </c:numRef>
          </c:val>
          <c:smooth val="0"/>
          <c:extLst>
            <c:ext xmlns:c16="http://schemas.microsoft.com/office/drawing/2014/chart" uri="{C3380CC4-5D6E-409C-BE32-E72D297353CC}">
              <c16:uniqueId val="{00000002-AE94-4FEE-9EFB-F4BEA1B515BA}"/>
            </c:ext>
          </c:extLst>
        </c:ser>
        <c:ser>
          <c:idx val="3"/>
          <c:order val="3"/>
          <c:tx>
            <c:strRef>
              <c:f>Charts!$AA$93</c:f>
              <c:strCache>
                <c:ptCount val="1"/>
                <c:pt idx="0">
                  <c:v>Infrastructure Exp YoY</c:v>
                </c:pt>
              </c:strCache>
            </c:strRef>
          </c:tx>
          <c:spPr>
            <a:ln w="25400" cap="rnd">
              <a:solidFill>
                <a:srgbClr val="99CCFF"/>
              </a:solidFill>
              <a:prstDash val="lgDash"/>
              <a:round/>
            </a:ln>
            <a:effectLst/>
          </c:spPr>
          <c:marker>
            <c:symbol val="none"/>
          </c:marker>
          <c:cat>
            <c:strRef>
              <c:f>Charts!$AB$89:$AU$89</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Charts!$AB$93:$AU$93</c:f>
              <c:numCache>
                <c:formatCode>0%</c:formatCode>
                <c:ptCount val="20"/>
                <c:pt idx="0">
                  <c:v>0.1113243761996161</c:v>
                </c:pt>
                <c:pt idx="1">
                  <c:v>0.18598790322580649</c:v>
                </c:pt>
                <c:pt idx="2">
                  <c:v>0.10574293527803102</c:v>
                </c:pt>
                <c:pt idx="3">
                  <c:v>8.4931506849315053E-2</c:v>
                </c:pt>
                <c:pt idx="4">
                  <c:v>-0.12270854922279795</c:v>
                </c:pt>
                <c:pt idx="5">
                  <c:v>-0.11894857628559286</c:v>
                </c:pt>
                <c:pt idx="6">
                  <c:v>-0.21548928276999157</c:v>
                </c:pt>
                <c:pt idx="7">
                  <c:v>-0.17277272727272719</c:v>
                </c:pt>
                <c:pt idx="8">
                  <c:v>-2.8435771704694468E-2</c:v>
                </c:pt>
                <c:pt idx="9">
                  <c:v>-5.8003081354908503E-2</c:v>
                </c:pt>
                <c:pt idx="10">
                  <c:v>6.3184398254959806E-2</c:v>
                </c:pt>
                <c:pt idx="11">
                  <c:v>3.7483235749623978E-2</c:v>
                </c:pt>
                <c:pt idx="12">
                  <c:v>9.0834439783367138E-3</c:v>
                </c:pt>
                <c:pt idx="13">
                  <c:v>6.0603205441025931E-2</c:v>
                </c:pt>
                <c:pt idx="14">
                  <c:v>-6.0900123895653024E-3</c:v>
                </c:pt>
                <c:pt idx="15">
                  <c:v>-0.18613059757302597</c:v>
                </c:pt>
                <c:pt idx="16">
                  <c:v>0.1726970695224106</c:v>
                </c:pt>
                <c:pt idx="17">
                  <c:v>3.3560462278940273E-2</c:v>
                </c:pt>
                <c:pt idx="18">
                  <c:v>8.4482839205749727E-2</c:v>
                </c:pt>
                <c:pt idx="19">
                  <c:v>0.40869382880597538</c:v>
                </c:pt>
              </c:numCache>
            </c:numRef>
          </c:val>
          <c:smooth val="0"/>
          <c:extLst>
            <c:ext xmlns:c16="http://schemas.microsoft.com/office/drawing/2014/chart" uri="{C3380CC4-5D6E-409C-BE32-E72D297353CC}">
              <c16:uniqueId val="{00000003-AE94-4FEE-9EFB-F4BEA1B515BA}"/>
            </c:ext>
          </c:extLst>
        </c:ser>
        <c:dLbls>
          <c:showLegendKey val="0"/>
          <c:showVal val="0"/>
          <c:showCatName val="0"/>
          <c:showSerName val="0"/>
          <c:showPercent val="0"/>
          <c:showBubbleSize val="0"/>
        </c:dLbls>
        <c:smooth val="0"/>
        <c:axId val="690783008"/>
        <c:axId val="690784576"/>
      </c:lineChart>
      <c:catAx>
        <c:axId val="69078300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4576"/>
        <c:crosses val="autoZero"/>
        <c:auto val="1"/>
        <c:lblAlgn val="ctr"/>
        <c:lblOffset val="100"/>
        <c:noMultiLvlLbl val="0"/>
      </c:catAx>
      <c:valAx>
        <c:axId val="690784576"/>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3008"/>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Charts!$AA$109</c:f>
              <c:strCache>
                <c:ptCount val="1"/>
                <c:pt idx="0">
                  <c:v>EBITDA</c:v>
                </c:pt>
              </c:strCache>
            </c:strRef>
          </c:tx>
          <c:spPr>
            <a:solidFill>
              <a:srgbClr val="000080"/>
            </a:solidFill>
            <a:ln w="25400">
              <a:noFill/>
            </a:ln>
            <a:effectLst/>
          </c:spPr>
          <c:invertIfNegative val="0"/>
          <c:cat>
            <c:strRef>
              <c:f>Charts!$AB$108:$AU$108</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Charts!$AB$109:$AU$109</c:f>
              <c:numCache>
                <c:formatCode>#,##0_);\(#,##0\)</c:formatCode>
                <c:ptCount val="20"/>
                <c:pt idx="0">
                  <c:v>2279</c:v>
                </c:pt>
                <c:pt idx="1">
                  <c:v>2471</c:v>
                </c:pt>
                <c:pt idx="2">
                  <c:v>2608</c:v>
                </c:pt>
                <c:pt idx="3">
                  <c:v>2608</c:v>
                </c:pt>
                <c:pt idx="4">
                  <c:v>3184</c:v>
                </c:pt>
                <c:pt idx="5">
                  <c:v>3306</c:v>
                </c:pt>
                <c:pt idx="6">
                  <c:v>3405</c:v>
                </c:pt>
                <c:pt idx="7">
                  <c:v>3165</c:v>
                </c:pt>
                <c:pt idx="8">
                  <c:v>3119</c:v>
                </c:pt>
                <c:pt idx="9">
                  <c:v>3369</c:v>
                </c:pt>
                <c:pt idx="10">
                  <c:v>3418</c:v>
                </c:pt>
                <c:pt idx="11">
                  <c:v>3381</c:v>
                </c:pt>
                <c:pt idx="12">
                  <c:v>3174</c:v>
                </c:pt>
                <c:pt idx="13">
                  <c:v>3560</c:v>
                </c:pt>
                <c:pt idx="14">
                  <c:v>3643</c:v>
                </c:pt>
                <c:pt idx="15">
                  <c:v>3858</c:v>
                </c:pt>
                <c:pt idx="16">
                  <c:v>3583</c:v>
                </c:pt>
                <c:pt idx="17">
                  <c:v>4069</c:v>
                </c:pt>
                <c:pt idx="18">
                  <c:v>4103</c:v>
                </c:pt>
                <c:pt idx="19">
                  <c:v>4130</c:v>
                </c:pt>
              </c:numCache>
            </c:numRef>
          </c:val>
          <c:extLst>
            <c:ext xmlns:c16="http://schemas.microsoft.com/office/drawing/2014/chart" uri="{C3380CC4-5D6E-409C-BE32-E72D297353CC}">
              <c16:uniqueId val="{00000000-6A2F-48DC-91B7-755FE5511AF8}"/>
            </c:ext>
          </c:extLst>
        </c:ser>
        <c:dLbls>
          <c:showLegendKey val="0"/>
          <c:showVal val="0"/>
          <c:showCatName val="0"/>
          <c:showSerName val="0"/>
          <c:showPercent val="0"/>
          <c:showBubbleSize val="0"/>
        </c:dLbls>
        <c:gapWidth val="219"/>
        <c:axId val="690785360"/>
        <c:axId val="690785752"/>
      </c:barChart>
      <c:lineChart>
        <c:grouping val="standard"/>
        <c:varyColors val="0"/>
        <c:ser>
          <c:idx val="1"/>
          <c:order val="1"/>
          <c:tx>
            <c:strRef>
              <c:f>Charts!$AA$110</c:f>
              <c:strCache>
                <c:ptCount val="1"/>
                <c:pt idx="0">
                  <c:v>EBITDA growth (% YoY)</c:v>
                </c:pt>
              </c:strCache>
            </c:strRef>
          </c:tx>
          <c:spPr>
            <a:ln w="25400" cap="rnd">
              <a:solidFill>
                <a:schemeClr val="accent1"/>
              </a:solidFill>
              <a:prstDash val="solid"/>
              <a:round/>
            </a:ln>
            <a:effectLst/>
          </c:spPr>
          <c:marker>
            <c:symbol val="none"/>
          </c:marker>
          <c:cat>
            <c:strRef>
              <c:f>Charts!$AB$108:$AU$108</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Charts!$AB$110:$AU$110</c:f>
              <c:numCache>
                <c:formatCode>0%</c:formatCode>
                <c:ptCount val="20"/>
                <c:pt idx="0">
                  <c:v>0.14753272910372606</c:v>
                </c:pt>
                <c:pt idx="1">
                  <c:v>0.23550000000000004</c:v>
                </c:pt>
                <c:pt idx="2">
                  <c:v>0.19852941176470584</c:v>
                </c:pt>
                <c:pt idx="3">
                  <c:v>0.1093151850276477</c:v>
                </c:pt>
                <c:pt idx="4">
                  <c:v>0.39710399297937693</c:v>
                </c:pt>
                <c:pt idx="5">
                  <c:v>0.33791987049777417</c:v>
                </c:pt>
                <c:pt idx="6">
                  <c:v>0.30559815950920255</c:v>
                </c:pt>
                <c:pt idx="7">
                  <c:v>0.2135736196319018</c:v>
                </c:pt>
                <c:pt idx="8">
                  <c:v>-2.0414572864321578E-2</c:v>
                </c:pt>
                <c:pt idx="9">
                  <c:v>1.9056261343012748E-2</c:v>
                </c:pt>
                <c:pt idx="10">
                  <c:v>3.8179148311305866E-3</c:v>
                </c:pt>
                <c:pt idx="11">
                  <c:v>6.824644549763037E-2</c:v>
                </c:pt>
                <c:pt idx="12">
                  <c:v>1.7633857005450393E-2</c:v>
                </c:pt>
                <c:pt idx="13">
                  <c:v>5.6693380825170614E-2</c:v>
                </c:pt>
                <c:pt idx="14">
                  <c:v>6.5827969572849643E-2</c:v>
                </c:pt>
                <c:pt idx="15">
                  <c:v>0.1410825199645076</c:v>
                </c:pt>
                <c:pt idx="16">
                  <c:v>0.12885948330182728</c:v>
                </c:pt>
                <c:pt idx="17">
                  <c:v>0.14297752808988773</c:v>
                </c:pt>
                <c:pt idx="18">
                  <c:v>0.12626955805654672</c:v>
                </c:pt>
                <c:pt idx="19">
                  <c:v>7.0502851218247731E-2</c:v>
                </c:pt>
              </c:numCache>
            </c:numRef>
          </c:val>
          <c:smooth val="0"/>
          <c:extLst>
            <c:ext xmlns:c16="http://schemas.microsoft.com/office/drawing/2014/chart" uri="{C3380CC4-5D6E-409C-BE32-E72D297353CC}">
              <c16:uniqueId val="{00000001-6A2F-48DC-91B7-755FE5511AF8}"/>
            </c:ext>
          </c:extLst>
        </c:ser>
        <c:dLbls>
          <c:showLegendKey val="0"/>
          <c:showVal val="0"/>
          <c:showCatName val="0"/>
          <c:showSerName val="0"/>
          <c:showPercent val="0"/>
          <c:showBubbleSize val="0"/>
        </c:dLbls>
        <c:marker val="1"/>
        <c:smooth val="0"/>
        <c:axId val="690788888"/>
        <c:axId val="690788496"/>
      </c:lineChart>
      <c:catAx>
        <c:axId val="690785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5752"/>
        <c:crosses val="autoZero"/>
        <c:auto val="1"/>
        <c:lblAlgn val="ctr"/>
        <c:lblOffset val="100"/>
        <c:noMultiLvlLbl val="0"/>
      </c:catAx>
      <c:valAx>
        <c:axId val="690785752"/>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5360"/>
        <c:crosses val="autoZero"/>
        <c:crossBetween val="between"/>
      </c:valAx>
      <c:valAx>
        <c:axId val="690788496"/>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8888"/>
        <c:crosses val="max"/>
        <c:crossBetween val="between"/>
      </c:valAx>
      <c:catAx>
        <c:axId val="690788888"/>
        <c:scaling>
          <c:orientation val="minMax"/>
        </c:scaling>
        <c:delete val="1"/>
        <c:axPos val="b"/>
        <c:numFmt formatCode="General" sourceLinked="1"/>
        <c:majorTickMark val="out"/>
        <c:minorTickMark val="none"/>
        <c:tickLblPos val="nextTo"/>
        <c:crossAx val="690788496"/>
        <c:crosses val="autoZero"/>
        <c:auto val="1"/>
        <c:lblAlgn val="ctr"/>
        <c:lblOffset val="100"/>
        <c:noMultiLvlLbl val="0"/>
      </c:cat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Charts!$AA$115</c:f>
              <c:strCache>
                <c:ptCount val="1"/>
                <c:pt idx="0">
                  <c:v>EBITDA Margin</c:v>
                </c:pt>
              </c:strCache>
            </c:strRef>
          </c:tx>
          <c:spPr>
            <a:ln w="25400" cap="rnd">
              <a:solidFill>
                <a:srgbClr val="333399"/>
              </a:solidFill>
              <a:prstDash val="solid"/>
              <a:round/>
            </a:ln>
            <a:effectLst/>
          </c:spPr>
          <c:marker>
            <c:symbol val="none"/>
          </c:marker>
          <c:cat>
            <c:strRef>
              <c:f>Charts!$AB$114:$AU$114</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Charts!$AB$115:$AU$115</c:f>
              <c:numCache>
                <c:formatCode>0%</c:formatCode>
                <c:ptCount val="20"/>
                <c:pt idx="0">
                  <c:v>0.3819196329817684</c:v>
                </c:pt>
                <c:pt idx="1">
                  <c:v>0.3928704584787121</c:v>
                </c:pt>
                <c:pt idx="2">
                  <c:v>0.40348450955204707</c:v>
                </c:pt>
                <c:pt idx="3">
                  <c:v>0.40671643536748731</c:v>
                </c:pt>
                <c:pt idx="4">
                  <c:v>0.49006095133082178</c:v>
                </c:pt>
                <c:pt idx="5">
                  <c:v>0.50204942772287786</c:v>
                </c:pt>
                <c:pt idx="6">
                  <c:v>0.51795020711163131</c:v>
                </c:pt>
                <c:pt idx="7">
                  <c:v>0.49819422302478972</c:v>
                </c:pt>
                <c:pt idx="8">
                  <c:v>0.49925064383164541</c:v>
                </c:pt>
                <c:pt idx="9">
                  <c:v>0.50082981062716558</c:v>
                </c:pt>
                <c:pt idx="10">
                  <c:v>0.50073293354784665</c:v>
                </c:pt>
                <c:pt idx="11">
                  <c:v>0.48620499386167992</c:v>
                </c:pt>
                <c:pt idx="12">
                  <c:v>0.47077606410741879</c:v>
                </c:pt>
                <c:pt idx="13">
                  <c:v>0.48549376010962347</c:v>
                </c:pt>
                <c:pt idx="14">
                  <c:v>0.4844028401989201</c:v>
                </c:pt>
                <c:pt idx="15">
                  <c:v>0.5112240038353727</c:v>
                </c:pt>
                <c:pt idx="16">
                  <c:v>0.47473780110672342</c:v>
                </c:pt>
                <c:pt idx="17">
                  <c:v>0.49518065940442257</c:v>
                </c:pt>
                <c:pt idx="18">
                  <c:v>0.50633836162826473</c:v>
                </c:pt>
                <c:pt idx="19">
                  <c:v>0.48847720130240074</c:v>
                </c:pt>
              </c:numCache>
            </c:numRef>
          </c:val>
          <c:smooth val="0"/>
          <c:extLst>
            <c:ext xmlns:c16="http://schemas.microsoft.com/office/drawing/2014/chart" uri="{C3380CC4-5D6E-409C-BE32-E72D297353CC}">
              <c16:uniqueId val="{00000000-0E22-4977-965A-89D6D7F74776}"/>
            </c:ext>
          </c:extLst>
        </c:ser>
        <c:dLbls>
          <c:showLegendKey val="0"/>
          <c:showVal val="0"/>
          <c:showCatName val="0"/>
          <c:showSerName val="0"/>
          <c:showPercent val="0"/>
          <c:showBubbleSize val="0"/>
        </c:dLbls>
        <c:smooth val="0"/>
        <c:axId val="691687832"/>
        <c:axId val="691686656"/>
      </c:lineChart>
      <c:catAx>
        <c:axId val="69168783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86656"/>
        <c:crosses val="autoZero"/>
        <c:auto val="1"/>
        <c:lblAlgn val="ctr"/>
        <c:lblOffset val="100"/>
        <c:noMultiLvlLbl val="0"/>
      </c:catAx>
      <c:valAx>
        <c:axId val="691686656"/>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8783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lineChart>
        <c:grouping val="standard"/>
        <c:varyColors val="0"/>
        <c:ser>
          <c:idx val="0"/>
          <c:order val="0"/>
          <c:tx>
            <c:strRef>
              <c:f>Charts!$AA$128</c:f>
              <c:strCache>
                <c:ptCount val="1"/>
                <c:pt idx="0">
                  <c:v>EBITDA growth (% QoQ)</c:v>
                </c:pt>
              </c:strCache>
            </c:strRef>
          </c:tx>
          <c:spPr>
            <a:ln w="25400" cap="rnd">
              <a:solidFill>
                <a:srgbClr val="333399"/>
              </a:solidFill>
              <a:prstDash val="solid"/>
              <a:round/>
            </a:ln>
            <a:effectLst/>
          </c:spPr>
          <c:marker>
            <c:symbol val="none"/>
          </c:marker>
          <c:cat>
            <c:strRef>
              <c:f>Charts!$AB$127:$AU$127</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Charts!$AB$128:$AU$128</c:f>
              <c:numCache>
                <c:formatCode>0%</c:formatCode>
                <c:ptCount val="20"/>
                <c:pt idx="0">
                  <c:v>-3.062526584432157E-2</c:v>
                </c:pt>
                <c:pt idx="1">
                  <c:v>8.4247476963580592E-2</c:v>
                </c:pt>
                <c:pt idx="2">
                  <c:v>5.5443140428976134E-2</c:v>
                </c:pt>
                <c:pt idx="3">
                  <c:v>0</c:v>
                </c:pt>
                <c:pt idx="4">
                  <c:v>0.22085889570552153</c:v>
                </c:pt>
                <c:pt idx="5">
                  <c:v>3.831658291457285E-2</c:v>
                </c:pt>
                <c:pt idx="6">
                  <c:v>2.9945553539020064E-2</c:v>
                </c:pt>
                <c:pt idx="7">
                  <c:v>-7.0484581497797349E-2</c:v>
                </c:pt>
                <c:pt idx="8">
                  <c:v>-1.4533965244865721E-2</c:v>
                </c:pt>
                <c:pt idx="9">
                  <c:v>8.0153895479320392E-2</c:v>
                </c:pt>
                <c:pt idx="10">
                  <c:v>1.4544375185514991E-2</c:v>
                </c:pt>
                <c:pt idx="11">
                  <c:v>-1.0825043885313024E-2</c:v>
                </c:pt>
                <c:pt idx="12">
                  <c:v>-6.1224489795918324E-2</c:v>
                </c:pt>
                <c:pt idx="13">
                  <c:v>0.12161310649023305</c:v>
                </c:pt>
                <c:pt idx="14">
                  <c:v>2.3314606741573041E-2</c:v>
                </c:pt>
                <c:pt idx="15">
                  <c:v>5.901729343947304E-2</c:v>
                </c:pt>
                <c:pt idx="16">
                  <c:v>-7.1280456194919628E-2</c:v>
                </c:pt>
                <c:pt idx="17">
                  <c:v>0.13564052469997212</c:v>
                </c:pt>
                <c:pt idx="18">
                  <c:v>8.3558613910050816E-3</c:v>
                </c:pt>
                <c:pt idx="19">
                  <c:v>6.5805508164757942E-3</c:v>
                </c:pt>
              </c:numCache>
            </c:numRef>
          </c:val>
          <c:smooth val="0"/>
          <c:extLst>
            <c:ext xmlns:c16="http://schemas.microsoft.com/office/drawing/2014/chart" uri="{C3380CC4-5D6E-409C-BE32-E72D297353CC}">
              <c16:uniqueId val="{00000000-02D2-4E11-965E-DA99CA749752}"/>
            </c:ext>
          </c:extLst>
        </c:ser>
        <c:dLbls>
          <c:showLegendKey val="0"/>
          <c:showVal val="0"/>
          <c:showCatName val="0"/>
          <c:showSerName val="0"/>
          <c:showPercent val="0"/>
          <c:showBubbleSize val="0"/>
        </c:dLbls>
        <c:smooth val="0"/>
        <c:axId val="691688616"/>
        <c:axId val="691691360"/>
      </c:lineChart>
      <c:catAx>
        <c:axId val="69168861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91360"/>
        <c:crosses val="autoZero"/>
        <c:auto val="1"/>
        <c:lblAlgn val="ctr"/>
        <c:lblOffset val="100"/>
        <c:noMultiLvlLbl val="0"/>
      </c:catAx>
      <c:valAx>
        <c:axId val="691691360"/>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8861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barChart>
        <c:barDir val="col"/>
        <c:grouping val="clustered"/>
        <c:varyColors val="0"/>
        <c:ser>
          <c:idx val="0"/>
          <c:order val="0"/>
          <c:tx>
            <c:strRef>
              <c:f>Charts!$AA$134</c:f>
              <c:strCache>
                <c:ptCount val="1"/>
                <c:pt idx="0">
                  <c:v>Underlying Earnings</c:v>
                </c:pt>
              </c:strCache>
            </c:strRef>
          </c:tx>
          <c:spPr>
            <a:solidFill>
              <a:srgbClr val="000080"/>
            </a:solidFill>
            <a:ln w="25400">
              <a:noFill/>
            </a:ln>
            <a:effectLst/>
          </c:spPr>
          <c:invertIfNegative val="0"/>
          <c:cat>
            <c:strRef>
              <c:f>Charts!$AB$133:$AU$133</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Charts!$AB$134:$AU$134</c:f>
              <c:numCache>
                <c:formatCode>#,##0_);\(#,##0\)</c:formatCode>
                <c:ptCount val="20"/>
                <c:pt idx="0">
                  <c:v>69</c:v>
                </c:pt>
                <c:pt idx="1">
                  <c:v>223</c:v>
                </c:pt>
                <c:pt idx="2">
                  <c:v>214</c:v>
                </c:pt>
                <c:pt idx="3">
                  <c:v>214</c:v>
                </c:pt>
                <c:pt idx="4">
                  <c:v>113</c:v>
                </c:pt>
                <c:pt idx="5">
                  <c:v>144</c:v>
                </c:pt>
                <c:pt idx="6">
                  <c:v>331</c:v>
                </c:pt>
                <c:pt idx="7">
                  <c:v>166</c:v>
                </c:pt>
                <c:pt idx="8">
                  <c:v>230</c:v>
                </c:pt>
                <c:pt idx="9">
                  <c:v>333</c:v>
                </c:pt>
                <c:pt idx="10">
                  <c:v>272</c:v>
                </c:pt>
                <c:pt idx="11">
                  <c:v>269</c:v>
                </c:pt>
                <c:pt idx="12">
                  <c:v>171</c:v>
                </c:pt>
                <c:pt idx="13">
                  <c:v>446</c:v>
                </c:pt>
                <c:pt idx="14">
                  <c:v>371.7600000000001</c:v>
                </c:pt>
                <c:pt idx="15">
                  <c:v>132.41600000000003</c:v>
                </c:pt>
                <c:pt idx="16">
                  <c:v>204.17500000000001</c:v>
                </c:pt>
                <c:pt idx="17">
                  <c:v>453.34899999999999</c:v>
                </c:pt>
                <c:pt idx="18">
                  <c:v>361.05899999999991</c:v>
                </c:pt>
                <c:pt idx="19">
                  <c:v>265.86500000000012</c:v>
                </c:pt>
              </c:numCache>
            </c:numRef>
          </c:val>
          <c:extLst>
            <c:ext xmlns:c16="http://schemas.microsoft.com/office/drawing/2014/chart" uri="{C3380CC4-5D6E-409C-BE32-E72D297353CC}">
              <c16:uniqueId val="{00000000-7D19-4294-BC11-B4416B9AC9BC}"/>
            </c:ext>
          </c:extLst>
        </c:ser>
        <c:dLbls>
          <c:showLegendKey val="0"/>
          <c:showVal val="0"/>
          <c:showCatName val="0"/>
          <c:showSerName val="0"/>
          <c:showPercent val="0"/>
          <c:showBubbleSize val="0"/>
        </c:dLbls>
        <c:gapWidth val="219"/>
        <c:overlap val="-27"/>
        <c:axId val="691689008"/>
        <c:axId val="691688224"/>
      </c:barChart>
      <c:catAx>
        <c:axId val="69168900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88224"/>
        <c:crosses val="autoZero"/>
        <c:auto val="1"/>
        <c:lblAlgn val="ctr"/>
        <c:lblOffset val="100"/>
        <c:noMultiLvlLbl val="0"/>
      </c:catAx>
      <c:valAx>
        <c:axId val="691688224"/>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8900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barChart>
        <c:barDir val="col"/>
        <c:grouping val="clustered"/>
        <c:varyColors val="0"/>
        <c:ser>
          <c:idx val="0"/>
          <c:order val="0"/>
          <c:tx>
            <c:strRef>
              <c:f>Charts!$AA$149</c:f>
              <c:strCache>
                <c:ptCount val="1"/>
                <c:pt idx="0">
                  <c:v>Subscriber Base (EoP) ('000)</c:v>
                </c:pt>
              </c:strCache>
            </c:strRef>
          </c:tx>
          <c:spPr>
            <a:solidFill>
              <a:srgbClr val="000080"/>
            </a:solidFill>
            <a:ln w="25400">
              <a:noFill/>
            </a:ln>
            <a:effectLst/>
          </c:spPr>
          <c:invertIfNegative val="0"/>
          <c:cat>
            <c:strRef>
              <c:f>Charts!$AB$148:$AU$148</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Charts!$AB$149:$AU$149</c:f>
              <c:numCache>
                <c:formatCode>#,##0_);\(#,##0\)</c:formatCode>
                <c:ptCount val="20"/>
                <c:pt idx="0">
                  <c:v>55100</c:v>
                </c:pt>
                <c:pt idx="1">
                  <c:v>56600</c:v>
                </c:pt>
                <c:pt idx="2">
                  <c:v>55500</c:v>
                </c:pt>
                <c:pt idx="3">
                  <c:v>56700</c:v>
                </c:pt>
                <c:pt idx="4">
                  <c:v>55490</c:v>
                </c:pt>
                <c:pt idx="5">
                  <c:v>55670</c:v>
                </c:pt>
                <c:pt idx="6">
                  <c:v>56880</c:v>
                </c:pt>
                <c:pt idx="7">
                  <c:v>57890</c:v>
                </c:pt>
                <c:pt idx="8">
                  <c:v>56010</c:v>
                </c:pt>
                <c:pt idx="9">
                  <c:v>56770</c:v>
                </c:pt>
                <c:pt idx="10">
                  <c:v>57980</c:v>
                </c:pt>
                <c:pt idx="11">
                  <c:v>57910</c:v>
                </c:pt>
                <c:pt idx="12">
                  <c:v>57000</c:v>
                </c:pt>
                <c:pt idx="13">
                  <c:v>57230</c:v>
                </c:pt>
                <c:pt idx="14">
                  <c:v>57400</c:v>
                </c:pt>
                <c:pt idx="15">
                  <c:v>57500</c:v>
                </c:pt>
                <c:pt idx="16">
                  <c:v>57900</c:v>
                </c:pt>
                <c:pt idx="17">
                  <c:v>58000</c:v>
                </c:pt>
                <c:pt idx="18">
                  <c:v>57500</c:v>
                </c:pt>
                <c:pt idx="19">
                  <c:v>57500</c:v>
                </c:pt>
              </c:numCache>
            </c:numRef>
          </c:val>
          <c:extLst>
            <c:ext xmlns:c16="http://schemas.microsoft.com/office/drawing/2014/chart" uri="{C3380CC4-5D6E-409C-BE32-E72D297353CC}">
              <c16:uniqueId val="{00000000-452B-4061-AB03-D0F5819B8F67}"/>
            </c:ext>
          </c:extLst>
        </c:ser>
        <c:dLbls>
          <c:showLegendKey val="0"/>
          <c:showVal val="0"/>
          <c:showCatName val="0"/>
          <c:showSerName val="0"/>
          <c:showPercent val="0"/>
          <c:showBubbleSize val="0"/>
        </c:dLbls>
        <c:gapWidth val="219"/>
        <c:overlap val="-27"/>
        <c:axId val="691692144"/>
        <c:axId val="691687440"/>
      </c:barChart>
      <c:catAx>
        <c:axId val="691692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87440"/>
        <c:crosses val="autoZero"/>
        <c:auto val="1"/>
        <c:lblAlgn val="ctr"/>
        <c:lblOffset val="100"/>
        <c:noMultiLvlLbl val="0"/>
      </c:catAx>
      <c:valAx>
        <c:axId val="691687440"/>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9214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barChart>
        <c:barDir val="col"/>
        <c:grouping val="clustered"/>
        <c:varyColors val="0"/>
        <c:ser>
          <c:idx val="0"/>
          <c:order val="0"/>
          <c:tx>
            <c:strRef>
              <c:f>Charts!$AA$155</c:f>
              <c:strCache>
                <c:ptCount val="1"/>
                <c:pt idx="0">
                  <c:v>Net subscriber Additions ('000)</c:v>
                </c:pt>
              </c:strCache>
            </c:strRef>
          </c:tx>
          <c:spPr>
            <a:solidFill>
              <a:srgbClr val="000080"/>
            </a:solidFill>
            <a:ln w="25400">
              <a:noFill/>
            </a:ln>
            <a:effectLst/>
          </c:spPr>
          <c:invertIfNegative val="0"/>
          <c:cat>
            <c:strRef>
              <c:f>Charts!$AB$154:$AU$154</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Charts!$AB$155:$AU$155</c:f>
              <c:numCache>
                <c:formatCode>#,##0_);\(#,##0\)</c:formatCode>
                <c:ptCount val="20"/>
                <c:pt idx="0">
                  <c:v>200</c:v>
                </c:pt>
                <c:pt idx="1">
                  <c:v>1500</c:v>
                </c:pt>
                <c:pt idx="2">
                  <c:v>-1100</c:v>
                </c:pt>
                <c:pt idx="3">
                  <c:v>1200</c:v>
                </c:pt>
                <c:pt idx="4">
                  <c:v>-1210</c:v>
                </c:pt>
                <c:pt idx="5">
                  <c:v>180</c:v>
                </c:pt>
                <c:pt idx="6">
                  <c:v>1210</c:v>
                </c:pt>
                <c:pt idx="7">
                  <c:v>1010</c:v>
                </c:pt>
                <c:pt idx="8">
                  <c:v>-1880</c:v>
                </c:pt>
                <c:pt idx="9">
                  <c:v>760</c:v>
                </c:pt>
                <c:pt idx="10">
                  <c:v>1210</c:v>
                </c:pt>
                <c:pt idx="11">
                  <c:v>-70</c:v>
                </c:pt>
                <c:pt idx="12">
                  <c:v>-910</c:v>
                </c:pt>
                <c:pt idx="13">
                  <c:v>230</c:v>
                </c:pt>
                <c:pt idx="14">
                  <c:v>170</c:v>
                </c:pt>
                <c:pt idx="15">
                  <c:v>100</c:v>
                </c:pt>
                <c:pt idx="16">
                  <c:v>400</c:v>
                </c:pt>
                <c:pt idx="17">
                  <c:v>100</c:v>
                </c:pt>
                <c:pt idx="18">
                  <c:v>-500</c:v>
                </c:pt>
                <c:pt idx="19">
                  <c:v>0</c:v>
                </c:pt>
              </c:numCache>
            </c:numRef>
          </c:val>
          <c:extLst>
            <c:ext xmlns:c16="http://schemas.microsoft.com/office/drawing/2014/chart" uri="{C3380CC4-5D6E-409C-BE32-E72D297353CC}">
              <c16:uniqueId val="{00000000-05AB-4503-903E-99F0EBC24F55}"/>
            </c:ext>
          </c:extLst>
        </c:ser>
        <c:dLbls>
          <c:showLegendKey val="0"/>
          <c:showVal val="0"/>
          <c:showCatName val="0"/>
          <c:showSerName val="0"/>
          <c:showPercent val="0"/>
          <c:showBubbleSize val="0"/>
        </c:dLbls>
        <c:gapWidth val="219"/>
        <c:overlap val="-27"/>
        <c:axId val="691692536"/>
        <c:axId val="691690184"/>
      </c:barChart>
      <c:catAx>
        <c:axId val="69169253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90184"/>
        <c:crosses val="autoZero"/>
        <c:auto val="1"/>
        <c:lblAlgn val="ctr"/>
        <c:lblOffset val="100"/>
        <c:noMultiLvlLbl val="0"/>
      </c:catAx>
      <c:valAx>
        <c:axId val="691690184"/>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9253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2"/>
          <c:order val="2"/>
          <c:spPr>
            <a:solidFill>
              <a:schemeClr val="accent3"/>
            </a:solidFill>
            <a:ln>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Operations'!$D$4:$S$4</c:f>
            </c:numRef>
          </c:val>
          <c:extLst>
            <c:ext xmlns:c16="http://schemas.microsoft.com/office/drawing/2014/chart" uri="{C3380CC4-5D6E-409C-BE32-E72D297353CC}">
              <c16:uniqueId val="{00000002-BE2E-42F7-9E61-D6EEC5CD5B8C}"/>
            </c:ext>
          </c:extLst>
        </c:ser>
        <c:ser>
          <c:idx val="3"/>
          <c:order val="3"/>
          <c:spPr>
            <a:solidFill>
              <a:schemeClr val="accent4"/>
            </a:solidFill>
            <a:ln>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Operations'!$D$5:$S$5</c:f>
            </c:numRef>
          </c:val>
          <c:extLst>
            <c:ext xmlns:c16="http://schemas.microsoft.com/office/drawing/2014/chart" uri="{C3380CC4-5D6E-409C-BE32-E72D297353CC}">
              <c16:uniqueId val="{00000003-BE2E-42F7-9E61-D6EEC5CD5B8C}"/>
            </c:ext>
          </c:extLst>
        </c:ser>
        <c:ser>
          <c:idx val="4"/>
          <c:order val="4"/>
          <c:spPr>
            <a:solidFill>
              <a:schemeClr val="accent5"/>
            </a:solidFill>
            <a:ln>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Operations'!$D$6:$S$6</c:f>
            </c:numRef>
          </c:val>
          <c:extLst>
            <c:ext xmlns:c16="http://schemas.microsoft.com/office/drawing/2014/chart" uri="{C3380CC4-5D6E-409C-BE32-E72D297353CC}">
              <c16:uniqueId val="{00000004-BE2E-42F7-9E61-D6EEC5CD5B8C}"/>
            </c:ext>
          </c:extLst>
        </c:ser>
        <c:ser>
          <c:idx val="5"/>
          <c:order val="5"/>
          <c:spPr>
            <a:solidFill>
              <a:schemeClr val="accent6"/>
            </a:solidFill>
            <a:ln>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Operations'!$D$7:$S$7</c:f>
              <c:numCache>
                <c:formatCode>_-* #,##0.0_-;\-* #,##0.0_-;_-* "-"??_-;_-@_-</c:formatCode>
                <c:ptCount val="16"/>
                <c:pt idx="0">
                  <c:v>8.1809999999999992</c:v>
                </c:pt>
                <c:pt idx="1">
                  <c:v>11.919000000000002</c:v>
                </c:pt>
                <c:pt idx="2">
                  <c:v>15.799999999999995</c:v>
                </c:pt>
                <c:pt idx="3">
                  <c:v>17.399999999999999</c:v>
                </c:pt>
                <c:pt idx="4">
                  <c:v>22.57</c:v>
                </c:pt>
                <c:pt idx="5">
                  <c:v>29.229999999999997</c:v>
                </c:pt>
                <c:pt idx="6">
                  <c:v>32.700000000000003</c:v>
                </c:pt>
                <c:pt idx="7">
                  <c:v>36.400000000000006</c:v>
                </c:pt>
                <c:pt idx="8">
                  <c:v>42.4</c:v>
                </c:pt>
                <c:pt idx="9">
                  <c:v>45.362000000000002</c:v>
                </c:pt>
                <c:pt idx="10">
                  <c:v>43.882000000000012</c:v>
                </c:pt>
                <c:pt idx="11">
                  <c:v>54.656000000000013</c:v>
                </c:pt>
                <c:pt idx="12">
                  <c:v>84.367000000000004</c:v>
                </c:pt>
                <c:pt idx="13">
                  <c:v>112.89399999999999</c:v>
                </c:pt>
                <c:pt idx="14">
                  <c:v>129.839</c:v>
                </c:pt>
                <c:pt idx="15">
                  <c:v>176.09999999999997</c:v>
                </c:pt>
              </c:numCache>
            </c:numRef>
          </c:val>
          <c:extLst>
            <c:ext xmlns:c16="http://schemas.microsoft.com/office/drawing/2014/chart" uri="{C3380CC4-5D6E-409C-BE32-E72D297353CC}">
              <c16:uniqueId val="{00000005-BE2E-42F7-9E61-D6EEC5CD5B8C}"/>
            </c:ext>
          </c:extLst>
        </c:ser>
        <c:ser>
          <c:idx val="8"/>
          <c:order val="8"/>
          <c:spPr>
            <a:solidFill>
              <a:schemeClr val="accent3">
                <a:lumMod val="60000"/>
              </a:schemeClr>
            </a:solidFill>
            <a:ln>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Operations'!$D$10:$S$10</c:f>
              <c:numCache>
                <c:formatCode>_-* #,##0_-;\-* #,##0_-;_-* "-"??_-;_-@_-</c:formatCode>
                <c:ptCount val="16"/>
                <c:pt idx="0">
                  <c:v>26524</c:v>
                </c:pt>
                <c:pt idx="1">
                  <c:v>27107</c:v>
                </c:pt>
                <c:pt idx="2">
                  <c:v>28074</c:v>
                </c:pt>
                <c:pt idx="3">
                  <c:v>29878</c:v>
                </c:pt>
                <c:pt idx="4">
                  <c:v>30655</c:v>
                </c:pt>
                <c:pt idx="5">
                  <c:v>32635</c:v>
                </c:pt>
                <c:pt idx="6">
                  <c:v>34253</c:v>
                </c:pt>
                <c:pt idx="7">
                  <c:v>36006</c:v>
                </c:pt>
                <c:pt idx="8">
                  <c:v>36331</c:v>
                </c:pt>
                <c:pt idx="9">
                  <c:v>37072</c:v>
                </c:pt>
                <c:pt idx="10">
                  <c:v>37364</c:v>
                </c:pt>
                <c:pt idx="11">
                  <c:v>37506</c:v>
                </c:pt>
                <c:pt idx="12">
                  <c:v>37430</c:v>
                </c:pt>
                <c:pt idx="13">
                  <c:v>37629</c:v>
                </c:pt>
                <c:pt idx="14">
                  <c:v>37582</c:v>
                </c:pt>
                <c:pt idx="15">
                  <c:v>37549</c:v>
                </c:pt>
              </c:numCache>
            </c:numRef>
          </c:val>
          <c:extLst>
            <c:ext xmlns:c16="http://schemas.microsoft.com/office/drawing/2014/chart" uri="{C3380CC4-5D6E-409C-BE32-E72D297353CC}">
              <c16:uniqueId val="{00000008-BE2E-42F7-9E61-D6EEC5CD5B8C}"/>
            </c:ext>
          </c:extLst>
        </c:ser>
        <c:ser>
          <c:idx val="9"/>
          <c:order val="9"/>
          <c:spPr>
            <a:solidFill>
              <a:schemeClr val="accent4">
                <a:lumMod val="60000"/>
              </a:schemeClr>
            </a:solidFill>
            <a:ln>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Operations'!$D$11:$S$11</c:f>
              <c:numCache>
                <c:formatCode>_-* #,##0_-;\-* #,##0_-;_-* "-"??_-;_-@_-</c:formatCode>
                <c:ptCount val="16"/>
                <c:pt idx="0">
                  <c:v>13295</c:v>
                </c:pt>
                <c:pt idx="1">
                  <c:v>14186</c:v>
                </c:pt>
                <c:pt idx="2">
                  <c:v>14722</c:v>
                </c:pt>
                <c:pt idx="3">
                  <c:v>15068</c:v>
                </c:pt>
                <c:pt idx="4">
                  <c:v>14945</c:v>
                </c:pt>
                <c:pt idx="5">
                  <c:v>15179</c:v>
                </c:pt>
                <c:pt idx="6">
                  <c:v>15429</c:v>
                </c:pt>
                <c:pt idx="7">
                  <c:v>16006</c:v>
                </c:pt>
                <c:pt idx="8">
                  <c:v>16431</c:v>
                </c:pt>
                <c:pt idx="9">
                  <c:v>17246</c:v>
                </c:pt>
                <c:pt idx="10">
                  <c:v>17918</c:v>
                </c:pt>
                <c:pt idx="11">
                  <c:v>18239</c:v>
                </c:pt>
                <c:pt idx="12">
                  <c:v>18324</c:v>
                </c:pt>
                <c:pt idx="13">
                  <c:v>23474</c:v>
                </c:pt>
                <c:pt idx="14">
                  <c:v>33939</c:v>
                </c:pt>
                <c:pt idx="15">
                  <c:v>38731</c:v>
                </c:pt>
              </c:numCache>
            </c:numRef>
          </c:val>
          <c:extLst>
            <c:ext xmlns:c16="http://schemas.microsoft.com/office/drawing/2014/chart" uri="{C3380CC4-5D6E-409C-BE32-E72D297353CC}">
              <c16:uniqueId val="{00000009-BE2E-42F7-9E61-D6EEC5CD5B8C}"/>
            </c:ext>
          </c:extLst>
        </c:ser>
        <c:ser>
          <c:idx val="10"/>
          <c:order val="10"/>
          <c:spPr>
            <a:solidFill>
              <a:schemeClr val="accent5">
                <a:lumMod val="60000"/>
              </a:schemeClr>
            </a:solidFill>
            <a:ln>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Operations'!$D$12:$S$12</c:f>
              <c:numCache>
                <c:formatCode>_-* #,##0_-;\-* #,##0_-;_-* "-"??_-;_-@_-</c:formatCode>
                <c:ptCount val="16"/>
                <c:pt idx="0">
                  <c:v>0</c:v>
                </c:pt>
                <c:pt idx="1">
                  <c:v>0</c:v>
                </c:pt>
                <c:pt idx="2">
                  <c:v>0</c:v>
                </c:pt>
                <c:pt idx="3">
                  <c:v>0</c:v>
                </c:pt>
                <c:pt idx="4">
                  <c:v>0</c:v>
                </c:pt>
                <c:pt idx="5">
                  <c:v>0</c:v>
                </c:pt>
                <c:pt idx="6">
                  <c:v>0</c:v>
                </c:pt>
                <c:pt idx="7">
                  <c:v>0</c:v>
                </c:pt>
                <c:pt idx="8">
                  <c:v>180</c:v>
                </c:pt>
                <c:pt idx="9">
                  <c:v>232</c:v>
                </c:pt>
                <c:pt idx="10">
                  <c:v>1018</c:v>
                </c:pt>
                <c:pt idx="11">
                  <c:v>3134</c:v>
                </c:pt>
                <c:pt idx="12">
                  <c:v>3286</c:v>
                </c:pt>
                <c:pt idx="13">
                  <c:v>5250</c:v>
                </c:pt>
                <c:pt idx="14">
                  <c:v>7204</c:v>
                </c:pt>
                <c:pt idx="15">
                  <c:v>8204</c:v>
                </c:pt>
              </c:numCache>
            </c:numRef>
          </c:val>
          <c:extLst>
            <c:ext xmlns:c16="http://schemas.microsoft.com/office/drawing/2014/chart" uri="{C3380CC4-5D6E-409C-BE32-E72D297353CC}">
              <c16:uniqueId val="{0000000A-BE2E-42F7-9E61-D6EEC5CD5B8C}"/>
            </c:ext>
          </c:extLst>
        </c:ser>
        <c:dLbls>
          <c:showLegendKey val="0"/>
          <c:showVal val="0"/>
          <c:showCatName val="0"/>
          <c:showSerName val="0"/>
          <c:showPercent val="0"/>
          <c:showBubbleSize val="0"/>
        </c:dLbls>
        <c:gapWidth val="150"/>
        <c:overlap val="100"/>
        <c:axId val="948003744"/>
        <c:axId val="948005384"/>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'Domestic Mobile Operations'!$D$1:$S$1</c15:sqref>
                        </c15:formulaRef>
                      </c:ext>
                    </c:extLst>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extLst>
                      <c:ext uri="{02D57815-91ED-43cb-92C2-25804820EDAC}">
                        <c15:formulaRef>
                          <c15:sqref>'Domestic Mobile Operations'!$D$2:$S$2</c15:sqref>
                        </c15:formulaRef>
                      </c:ext>
                    </c:extLst>
                    <c:numCache>
                      <c:formatCode>General</c:formatCode>
                      <c:ptCount val="16"/>
                    </c:numCache>
                  </c:numRef>
                </c:val>
                <c:extLst>
                  <c:ext xmlns:c16="http://schemas.microsoft.com/office/drawing/2014/chart" uri="{C3380CC4-5D6E-409C-BE32-E72D297353CC}">
                    <c16:uniqueId val="{00000000-BE2E-42F7-9E61-D6EEC5CD5B8C}"/>
                  </c:ext>
                </c:extLst>
              </c15:ser>
            </c15:filteredBarSeries>
            <c15:filteredBarSeries>
              <c15:ser>
                <c:idx val="1"/>
                <c:order val="1"/>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'Domestic Mobile Operations'!$D$1:$S$1</c15:sqref>
                        </c15:formulaRef>
                      </c:ext>
                    </c:extLst>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extLst xmlns:c15="http://schemas.microsoft.com/office/drawing/2012/chart">
                      <c:ext xmlns:c15="http://schemas.microsoft.com/office/drawing/2012/chart" uri="{02D57815-91ED-43cb-92C2-25804820EDAC}">
                        <c15:formulaRef>
                          <c15:sqref>'Domestic Mobile Operations'!$D$3:$S$3</c15:sqref>
                        </c15:formulaRef>
                      </c:ext>
                    </c:extLst>
                    <c:numCache>
                      <c:formatCode>General</c:formatCode>
                      <c:ptCount val="16"/>
                    </c:numCache>
                  </c:numRef>
                </c:val>
                <c:extLst xmlns:c15="http://schemas.microsoft.com/office/drawing/2012/chart">
                  <c:ext xmlns:c16="http://schemas.microsoft.com/office/drawing/2014/chart" uri="{C3380CC4-5D6E-409C-BE32-E72D297353CC}">
                    <c16:uniqueId val="{00000001-BE2E-42F7-9E61-D6EEC5CD5B8C}"/>
                  </c:ext>
                </c:extLst>
              </c15:ser>
            </c15:filteredBarSeries>
            <c15:filteredBarSeries>
              <c15:ser>
                <c:idx val="6"/>
                <c:order val="6"/>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'Domestic Mobile Operations'!$D$1:$S$1</c15:sqref>
                        </c15:formulaRef>
                      </c:ext>
                    </c:extLst>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extLst xmlns:c15="http://schemas.microsoft.com/office/drawing/2012/chart">
                      <c:ext xmlns:c15="http://schemas.microsoft.com/office/drawing/2012/chart" uri="{02D57815-91ED-43cb-92C2-25804820EDAC}">
                        <c15:formulaRef>
                          <c15:sqref>'Domestic Mobile Operations'!$D$8:$S$8</c15:sqref>
                        </c15:formulaRef>
                      </c:ext>
                    </c:extLst>
                    <c:numCache>
                      <c:formatCode>_-* #,##0_-;\-* #,##0_-;_-* "-"??_-;_-@_-</c:formatCode>
                      <c:ptCount val="16"/>
                    </c:numCache>
                  </c:numRef>
                </c:val>
                <c:extLst xmlns:c15="http://schemas.microsoft.com/office/drawing/2012/chart">
                  <c:ext xmlns:c16="http://schemas.microsoft.com/office/drawing/2014/chart" uri="{C3380CC4-5D6E-409C-BE32-E72D297353CC}">
                    <c16:uniqueId val="{00000006-BE2E-42F7-9E61-D6EEC5CD5B8C}"/>
                  </c:ext>
                </c:extLst>
              </c15:ser>
            </c15:filteredBarSeries>
            <c15:filteredBarSeries>
              <c15:ser>
                <c:idx val="7"/>
                <c:order val="7"/>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'Domestic Mobile Operations'!$D$1:$S$1</c15:sqref>
                        </c15:formulaRef>
                      </c:ext>
                    </c:extLst>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extLst xmlns:c15="http://schemas.microsoft.com/office/drawing/2012/chart">
                      <c:ext xmlns:c15="http://schemas.microsoft.com/office/drawing/2012/chart" uri="{02D57815-91ED-43cb-92C2-25804820EDAC}">
                        <c15:formulaRef>
                          <c15:sqref>'Domestic Mobile Operations'!$D$9:$S$9</c15:sqref>
                        </c15:formulaRef>
                      </c:ext>
                    </c:extLst>
                    <c:numCache>
                      <c:formatCode>_-* #,##0_-;\-* #,##0_-;_-* "-"??_-;_-@_-</c:formatCode>
                      <c:ptCount val="16"/>
                    </c:numCache>
                  </c:numRef>
                </c:val>
                <c:extLst xmlns:c15="http://schemas.microsoft.com/office/drawing/2012/chart">
                  <c:ext xmlns:c16="http://schemas.microsoft.com/office/drawing/2014/chart" uri="{C3380CC4-5D6E-409C-BE32-E72D297353CC}">
                    <c16:uniqueId val="{00000007-BE2E-42F7-9E61-D6EEC5CD5B8C}"/>
                  </c:ext>
                </c:extLst>
              </c15:ser>
            </c15:filteredBarSeries>
          </c:ext>
        </c:extLst>
      </c:barChart>
      <c:catAx>
        <c:axId val="948003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8005384"/>
        <c:crosses val="autoZero"/>
        <c:auto val="1"/>
        <c:lblAlgn val="ctr"/>
        <c:lblOffset val="100"/>
        <c:noMultiLvlLbl val="0"/>
      </c:catAx>
      <c:valAx>
        <c:axId val="948005384"/>
        <c:scaling>
          <c:orientation val="minMax"/>
        </c:scaling>
        <c:delete val="0"/>
        <c:axPos val="l"/>
        <c:majorGridlines>
          <c:spPr>
            <a:ln w="9525" cap="flat" cmpd="sng" algn="ctr">
              <a:solidFill>
                <a:schemeClr val="tx1">
                  <a:lumMod val="15000"/>
                  <a:lumOff val="85000"/>
                </a:schemeClr>
              </a:solidFill>
              <a:round/>
            </a:ln>
            <a:effectLst/>
          </c:spPr>
        </c:majorGridlines>
        <c:numFmt formatCode="_-* #,##0.0_-;\-* #,##0.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8003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lineChart>
        <c:grouping val="standard"/>
        <c:varyColors val="0"/>
        <c:ser>
          <c:idx val="0"/>
          <c:order val="0"/>
          <c:tx>
            <c:strRef>
              <c:f>Charts!$AA$167</c:f>
              <c:strCache>
                <c:ptCount val="1"/>
                <c:pt idx="0">
                  <c:v>Calculated ARPU</c:v>
                </c:pt>
              </c:strCache>
            </c:strRef>
          </c:tx>
          <c:spPr>
            <a:ln w="25400" cap="rnd">
              <a:solidFill>
                <a:srgbClr val="333399"/>
              </a:solidFill>
              <a:prstDash val="solid"/>
              <a:round/>
            </a:ln>
            <a:effectLst/>
          </c:spPr>
          <c:marker>
            <c:symbol val="none"/>
          </c:marker>
          <c:cat>
            <c:strRef>
              <c:f>Charts!$AB$166:$AU$166</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Charts!$AB$167:$AU$167</c:f>
              <c:numCache>
                <c:formatCode>#,##0_);\(#,##0\)</c:formatCode>
                <c:ptCount val="20"/>
                <c:pt idx="0">
                  <c:v>32827.218181818178</c:v>
                </c:pt>
                <c:pt idx="1">
                  <c:v>34032.855863921221</c:v>
                </c:pt>
                <c:pt idx="2">
                  <c:v>35313.886410942614</c:v>
                </c:pt>
                <c:pt idx="3">
                  <c:v>35020.386215092105</c:v>
                </c:pt>
                <c:pt idx="4">
                  <c:v>35696.550494696501</c:v>
                </c:pt>
                <c:pt idx="5">
                  <c:v>37059.020031186279</c:v>
                </c:pt>
                <c:pt idx="6">
                  <c:v>36422.573670961057</c:v>
                </c:pt>
                <c:pt idx="7">
                  <c:v>34139.577706136908</c:v>
                </c:pt>
                <c:pt idx="8">
                  <c:v>33875.0365817969</c:v>
                </c:pt>
                <c:pt idx="9">
                  <c:v>37119.897144883849</c:v>
                </c:pt>
                <c:pt idx="10">
                  <c:v>36832.580973129989</c:v>
                </c:pt>
                <c:pt idx="11">
                  <c:v>36814.237639140563</c:v>
                </c:pt>
                <c:pt idx="12">
                  <c:v>37605.906071418212</c:v>
                </c:pt>
                <c:pt idx="13">
                  <c:v>40361.463713560363</c:v>
                </c:pt>
                <c:pt idx="14">
                  <c:v>41329.779871470528</c:v>
                </c:pt>
                <c:pt idx="15">
                  <c:v>42378.47983753989</c:v>
                </c:pt>
                <c:pt idx="16">
                  <c:v>42145.401502021952</c:v>
                </c:pt>
                <c:pt idx="17">
                  <c:v>45357.73367845844</c:v>
                </c:pt>
                <c:pt idx="18">
                  <c:v>44319.365079365089</c:v>
                </c:pt>
                <c:pt idx="19">
                  <c:v>46655.582608695644</c:v>
                </c:pt>
              </c:numCache>
            </c:numRef>
          </c:val>
          <c:smooth val="0"/>
          <c:extLst>
            <c:ext xmlns:c16="http://schemas.microsoft.com/office/drawing/2014/chart" uri="{C3380CC4-5D6E-409C-BE32-E72D297353CC}">
              <c16:uniqueId val="{00000000-1043-46D7-B3A5-BA212AB93A8E}"/>
            </c:ext>
          </c:extLst>
        </c:ser>
        <c:dLbls>
          <c:showLegendKey val="0"/>
          <c:showVal val="0"/>
          <c:showCatName val="0"/>
          <c:showSerName val="0"/>
          <c:showPercent val="0"/>
          <c:showBubbleSize val="0"/>
        </c:dLbls>
        <c:smooth val="0"/>
        <c:axId val="691689792"/>
        <c:axId val="691692928"/>
      </c:lineChart>
      <c:catAx>
        <c:axId val="69168979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92928"/>
        <c:crosses val="autoZero"/>
        <c:auto val="1"/>
        <c:lblAlgn val="ctr"/>
        <c:lblOffset val="100"/>
        <c:noMultiLvlLbl val="0"/>
      </c:catAx>
      <c:valAx>
        <c:axId val="691692928"/>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8979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lineChart>
        <c:grouping val="standard"/>
        <c:varyColors val="0"/>
        <c:ser>
          <c:idx val="0"/>
          <c:order val="0"/>
          <c:tx>
            <c:strRef>
              <c:f>Charts!$AA$173</c:f>
              <c:strCache>
                <c:ptCount val="1"/>
                <c:pt idx="0">
                  <c:v>ARPU Growth</c:v>
                </c:pt>
              </c:strCache>
            </c:strRef>
          </c:tx>
          <c:spPr>
            <a:ln w="25400" cap="rnd">
              <a:solidFill>
                <a:srgbClr val="333399"/>
              </a:solidFill>
              <a:prstDash val="solid"/>
              <a:round/>
            </a:ln>
            <a:effectLst/>
          </c:spPr>
          <c:marker>
            <c:symbol val="none"/>
          </c:marker>
          <c:cat>
            <c:strRef>
              <c:f>Charts!$AB$172:$AU$172</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Charts!$AB$173:$AU$173</c:f>
              <c:numCache>
                <c:formatCode>0%</c:formatCode>
                <c:ptCount val="20"/>
                <c:pt idx="0">
                  <c:v>0.10000000000000009</c:v>
                </c:pt>
                <c:pt idx="1">
                  <c:v>9.6774193548387011E-2</c:v>
                </c:pt>
                <c:pt idx="2">
                  <c:v>9.375E-2</c:v>
                </c:pt>
                <c:pt idx="3">
                  <c:v>9.0909090909090828E-2</c:v>
                </c:pt>
                <c:pt idx="4">
                  <c:v>9.0909090909090828E-2</c:v>
                </c:pt>
                <c:pt idx="5">
                  <c:v>8.8235294117646967E-2</c:v>
                </c:pt>
                <c:pt idx="6">
                  <c:v>2.857142857142847E-2</c:v>
                </c:pt>
                <c:pt idx="7">
                  <c:v>-5.555555555555558E-2</c:v>
                </c:pt>
                <c:pt idx="8">
                  <c:v>-2.777777777777779E-2</c:v>
                </c:pt>
                <c:pt idx="9">
                  <c:v>0</c:v>
                </c:pt>
                <c:pt idx="10">
                  <c:v>2.7777777777777679E-2</c:v>
                </c:pt>
                <c:pt idx="11">
                  <c:v>8.8235294117646967E-2</c:v>
                </c:pt>
                <c:pt idx="12">
                  <c:v>2.857142857142847E-2</c:v>
                </c:pt>
                <c:pt idx="13">
                  <c:v>5.4054054054053946E-2</c:v>
                </c:pt>
                <c:pt idx="14">
                  <c:v>8.1081081081081141E-2</c:v>
                </c:pt>
                <c:pt idx="15">
                  <c:v>8.1081081081081141E-2</c:v>
                </c:pt>
                <c:pt idx="16">
                  <c:v>0.11111111111111116</c:v>
                </c:pt>
                <c:pt idx="17">
                  <c:v>7.6923076923076872E-2</c:v>
                </c:pt>
                <c:pt idx="18">
                  <c:v>5.0000000000000044E-2</c:v>
                </c:pt>
                <c:pt idx="19">
                  <c:v>7.4999999999999956E-2</c:v>
                </c:pt>
              </c:numCache>
            </c:numRef>
          </c:val>
          <c:smooth val="0"/>
          <c:extLst>
            <c:ext xmlns:c16="http://schemas.microsoft.com/office/drawing/2014/chart" uri="{C3380CC4-5D6E-409C-BE32-E72D297353CC}">
              <c16:uniqueId val="{00000000-DB8E-4245-B208-3CB307E246A3}"/>
            </c:ext>
          </c:extLst>
        </c:ser>
        <c:dLbls>
          <c:showLegendKey val="0"/>
          <c:showVal val="0"/>
          <c:showCatName val="0"/>
          <c:showSerName val="0"/>
          <c:showPercent val="0"/>
          <c:showBubbleSize val="0"/>
        </c:dLbls>
        <c:smooth val="0"/>
        <c:axId val="691693712"/>
        <c:axId val="691953384"/>
      </c:lineChart>
      <c:catAx>
        <c:axId val="69169371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53384"/>
        <c:crosses val="autoZero"/>
        <c:auto val="1"/>
        <c:lblAlgn val="ctr"/>
        <c:lblOffset val="100"/>
        <c:noMultiLvlLbl val="0"/>
      </c:catAx>
      <c:valAx>
        <c:axId val="691953384"/>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69371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lineChart>
        <c:grouping val="standard"/>
        <c:varyColors val="0"/>
        <c:ser>
          <c:idx val="0"/>
          <c:order val="0"/>
          <c:tx>
            <c:strRef>
              <c:f>Charts!$AA$183</c:f>
              <c:strCache>
                <c:ptCount val="1"/>
                <c:pt idx="0">
                  <c:v>Total Traffic Growth</c:v>
                </c:pt>
              </c:strCache>
            </c:strRef>
          </c:tx>
          <c:spPr>
            <a:ln w="25400" cap="rnd">
              <a:solidFill>
                <a:srgbClr val="333399"/>
              </a:solidFill>
              <a:prstDash val="solid"/>
              <a:round/>
            </a:ln>
            <a:effectLst/>
          </c:spPr>
          <c:marker>
            <c:symbol val="none"/>
          </c:marker>
          <c:cat>
            <c:strRef>
              <c:f>Charts!$AB$182:$AU$182</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Charts!$AB$183:$AU$183</c:f>
              <c:numCache>
                <c:formatCode>0%</c:formatCode>
                <c:ptCount val="20"/>
                <c:pt idx="0">
                  <c:v>0.70155688622754475</c:v>
                </c:pt>
                <c:pt idx="1">
                  <c:v>0.58455598455598468</c:v>
                </c:pt>
                <c:pt idx="2">
                  <c:v>0.43319362950544793</c:v>
                </c:pt>
                <c:pt idx="3">
                  <c:v>0.39718857484671743</c:v>
                </c:pt>
                <c:pt idx="4">
                  <c:v>0.4076576576576576</c:v>
                </c:pt>
                <c:pt idx="5">
                  <c:v>0.48757309941520455</c:v>
                </c:pt>
                <c:pt idx="6">
                  <c:v>0.49140250321675083</c:v>
                </c:pt>
                <c:pt idx="7">
                  <c:v>0.4727603553462485</c:v>
                </c:pt>
                <c:pt idx="8">
                  <c:v>0.39100000000000001</c:v>
                </c:pt>
                <c:pt idx="9">
                  <c:v>0.28746928746928746</c:v>
                </c:pt>
                <c:pt idx="10">
                  <c:v>0.35058823529411764</c:v>
                </c:pt>
                <c:pt idx="11">
                  <c:v>0.35537790697674421</c:v>
                </c:pt>
                <c:pt idx="12">
                  <c:v>0.33501078360891445</c:v>
                </c:pt>
                <c:pt idx="13">
                  <c:v>0.26145038167938939</c:v>
                </c:pt>
                <c:pt idx="14">
                  <c:v>0.18815331010452963</c:v>
                </c:pt>
                <c:pt idx="15">
                  <c:v>0.12922252010723856</c:v>
                </c:pt>
                <c:pt idx="16">
                  <c:v>0.18686052773290251</c:v>
                </c:pt>
                <c:pt idx="17">
                  <c:v>0.23651033787191134</c:v>
                </c:pt>
                <c:pt idx="18">
                  <c:v>0.19892473118279574</c:v>
                </c:pt>
                <c:pt idx="19">
                  <c:v>0.20085470085470081</c:v>
                </c:pt>
              </c:numCache>
            </c:numRef>
          </c:val>
          <c:smooth val="0"/>
          <c:extLst>
            <c:ext xmlns:c16="http://schemas.microsoft.com/office/drawing/2014/chart" uri="{C3380CC4-5D6E-409C-BE32-E72D297353CC}">
              <c16:uniqueId val="{00000000-D550-40E2-8932-EA1FF42AF1CC}"/>
            </c:ext>
          </c:extLst>
        </c:ser>
        <c:dLbls>
          <c:showLegendKey val="0"/>
          <c:showVal val="0"/>
          <c:showCatName val="0"/>
          <c:showSerName val="0"/>
          <c:showPercent val="0"/>
          <c:showBubbleSize val="0"/>
        </c:dLbls>
        <c:smooth val="0"/>
        <c:axId val="691955736"/>
        <c:axId val="691952992"/>
      </c:lineChart>
      <c:catAx>
        <c:axId val="69195573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52992"/>
        <c:crosses val="autoZero"/>
        <c:auto val="1"/>
        <c:lblAlgn val="ctr"/>
        <c:lblOffset val="100"/>
        <c:noMultiLvlLbl val="0"/>
      </c:catAx>
      <c:valAx>
        <c:axId val="691952992"/>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5573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lineChart>
        <c:grouping val="standard"/>
        <c:varyColors val="0"/>
        <c:ser>
          <c:idx val="0"/>
          <c:order val="0"/>
          <c:tx>
            <c:strRef>
              <c:f>Charts!$AA$189</c:f>
              <c:strCache>
                <c:ptCount val="1"/>
                <c:pt idx="0">
                  <c:v>ARPU growth (% QoQ)</c:v>
                </c:pt>
              </c:strCache>
            </c:strRef>
          </c:tx>
          <c:spPr>
            <a:ln w="25400" cap="rnd">
              <a:solidFill>
                <a:srgbClr val="333399"/>
              </a:solidFill>
              <a:prstDash val="solid"/>
              <a:round/>
            </a:ln>
            <a:effectLst/>
          </c:spPr>
          <c:marker>
            <c:symbol val="none"/>
          </c:marker>
          <c:cat>
            <c:strRef>
              <c:f>Charts!$AB$188:$AU$188</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Charts!$AB$189:$AU$189</c:f>
              <c:numCache>
                <c:formatCode>0%</c:formatCode>
                <c:ptCount val="20"/>
                <c:pt idx="0">
                  <c:v>0</c:v>
                </c:pt>
                <c:pt idx="1">
                  <c:v>3.0303030303030276E-2</c:v>
                </c:pt>
                <c:pt idx="2">
                  <c:v>2.9411764705882248E-2</c:v>
                </c:pt>
                <c:pt idx="3">
                  <c:v>2.857142857142847E-2</c:v>
                </c:pt>
                <c:pt idx="4">
                  <c:v>0</c:v>
                </c:pt>
                <c:pt idx="5">
                  <c:v>2.7777777777777679E-2</c:v>
                </c:pt>
                <c:pt idx="6">
                  <c:v>-2.7027027027026973E-2</c:v>
                </c:pt>
                <c:pt idx="7">
                  <c:v>-5.555555555555558E-2</c:v>
                </c:pt>
                <c:pt idx="8">
                  <c:v>2.9411764705882248E-2</c:v>
                </c:pt>
                <c:pt idx="9">
                  <c:v>5.7142857142857162E-2</c:v>
                </c:pt>
                <c:pt idx="10">
                  <c:v>0</c:v>
                </c:pt>
                <c:pt idx="11">
                  <c:v>0</c:v>
                </c:pt>
                <c:pt idx="12">
                  <c:v>-2.7027027027026973E-2</c:v>
                </c:pt>
                <c:pt idx="13">
                  <c:v>8.3333333333333259E-2</c:v>
                </c:pt>
                <c:pt idx="14">
                  <c:v>2.564102564102555E-2</c:v>
                </c:pt>
                <c:pt idx="15">
                  <c:v>0</c:v>
                </c:pt>
                <c:pt idx="16">
                  <c:v>0</c:v>
                </c:pt>
                <c:pt idx="17">
                  <c:v>5.0000000000000044E-2</c:v>
                </c:pt>
                <c:pt idx="18">
                  <c:v>0</c:v>
                </c:pt>
                <c:pt idx="19">
                  <c:v>2.3809523809523725E-2</c:v>
                </c:pt>
              </c:numCache>
            </c:numRef>
          </c:val>
          <c:smooth val="0"/>
          <c:extLst>
            <c:ext xmlns:c16="http://schemas.microsoft.com/office/drawing/2014/chart" uri="{C3380CC4-5D6E-409C-BE32-E72D297353CC}">
              <c16:uniqueId val="{00000000-FD97-45DE-AFD3-9421ABDC0CEC}"/>
            </c:ext>
          </c:extLst>
        </c:ser>
        <c:dLbls>
          <c:showLegendKey val="0"/>
          <c:showVal val="0"/>
          <c:showCatName val="0"/>
          <c:showSerName val="0"/>
          <c:showPercent val="0"/>
          <c:showBubbleSize val="0"/>
        </c:dLbls>
        <c:smooth val="0"/>
        <c:axId val="691959656"/>
        <c:axId val="691953776"/>
      </c:lineChart>
      <c:catAx>
        <c:axId val="69195965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53776"/>
        <c:crosses val="autoZero"/>
        <c:auto val="1"/>
        <c:lblAlgn val="ctr"/>
        <c:lblOffset val="100"/>
        <c:noMultiLvlLbl val="0"/>
      </c:catAx>
      <c:valAx>
        <c:axId val="691953776"/>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5965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barChart>
        <c:barDir val="col"/>
        <c:grouping val="clustered"/>
        <c:varyColors val="0"/>
        <c:ser>
          <c:idx val="0"/>
          <c:order val="0"/>
          <c:tx>
            <c:strRef>
              <c:f>Charts!$AA$202</c:f>
              <c:strCache>
                <c:ptCount val="1"/>
                <c:pt idx="0">
                  <c:v>Usage per customer</c:v>
                </c:pt>
              </c:strCache>
            </c:strRef>
          </c:tx>
          <c:spPr>
            <a:solidFill>
              <a:srgbClr val="000080"/>
            </a:solidFill>
            <a:ln w="25400">
              <a:noFill/>
            </a:ln>
            <a:effectLst/>
          </c:spPr>
          <c:invertIfNegative val="0"/>
          <c:cat>
            <c:strRef>
              <c:f>Charts!$AB$201:$AU$201</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Charts!$AB$202:$AU$202</c:f>
              <c:numCache>
                <c:formatCode>#,##0_);\(#,##0\)</c:formatCode>
                <c:ptCount val="20"/>
                <c:pt idx="0">
                  <c:v>4305.454545454545</c:v>
                </c:pt>
                <c:pt idx="1">
                  <c:v>4898.8361683079684</c:v>
                </c:pt>
                <c:pt idx="2">
                  <c:v>5084.1510556051135</c:v>
                </c:pt>
                <c:pt idx="3">
                  <c:v>5551.3963161021993</c:v>
                </c:pt>
                <c:pt idx="4">
                  <c:v>5942.3002644323615</c:v>
                </c:pt>
                <c:pt idx="5">
                  <c:v>7322.7779776898169</c:v>
                </c:pt>
                <c:pt idx="6">
                  <c:v>7552.1990226565977</c:v>
                </c:pt>
                <c:pt idx="7">
                  <c:v>7992.7971885800589</c:v>
                </c:pt>
                <c:pt idx="8">
                  <c:v>8141.6447175885287</c:v>
                </c:pt>
                <c:pt idx="9">
                  <c:v>9292.4277354140813</c:v>
                </c:pt>
                <c:pt idx="10">
                  <c:v>10004.357298474946</c:v>
                </c:pt>
                <c:pt idx="11">
                  <c:v>10728.564443293928</c:v>
                </c:pt>
                <c:pt idx="12">
                  <c:v>10773.648942650771</c:v>
                </c:pt>
                <c:pt idx="13">
                  <c:v>11573.141906679506</c:v>
                </c:pt>
                <c:pt idx="14">
                  <c:v>11899.153799179971</c:v>
                </c:pt>
                <c:pt idx="15">
                  <c:v>12219.321148825065</c:v>
                </c:pt>
                <c:pt idx="16">
                  <c:v>12732.524552281917</c:v>
                </c:pt>
                <c:pt idx="17">
                  <c:v>14104.112740868564</c:v>
                </c:pt>
                <c:pt idx="18">
                  <c:v>14158.730158730157</c:v>
                </c:pt>
                <c:pt idx="19">
                  <c:v>14660.869565217392</c:v>
                </c:pt>
              </c:numCache>
            </c:numRef>
          </c:val>
          <c:extLst>
            <c:ext xmlns:c16="http://schemas.microsoft.com/office/drawing/2014/chart" uri="{C3380CC4-5D6E-409C-BE32-E72D297353CC}">
              <c16:uniqueId val="{00000000-85E6-4BF4-B83E-790A3E78C53A}"/>
            </c:ext>
          </c:extLst>
        </c:ser>
        <c:dLbls>
          <c:showLegendKey val="0"/>
          <c:showVal val="0"/>
          <c:showCatName val="0"/>
          <c:showSerName val="0"/>
          <c:showPercent val="0"/>
          <c:showBubbleSize val="0"/>
        </c:dLbls>
        <c:gapWidth val="219"/>
        <c:overlap val="-27"/>
        <c:axId val="691954952"/>
        <c:axId val="691960048"/>
      </c:barChart>
      <c:catAx>
        <c:axId val="691954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60048"/>
        <c:crosses val="autoZero"/>
        <c:auto val="1"/>
        <c:lblAlgn val="ctr"/>
        <c:lblOffset val="100"/>
        <c:noMultiLvlLbl val="0"/>
      </c:catAx>
      <c:valAx>
        <c:axId val="691960048"/>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5495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barChart>
        <c:barDir val="col"/>
        <c:grouping val="clustered"/>
        <c:varyColors val="0"/>
        <c:ser>
          <c:idx val="0"/>
          <c:order val="0"/>
          <c:tx>
            <c:strRef>
              <c:f>Charts!$AA$219</c:f>
              <c:strCache>
                <c:ptCount val="1"/>
                <c:pt idx="0">
                  <c:v>Net Debt/ EBITDA (LQA)</c:v>
                </c:pt>
              </c:strCache>
            </c:strRef>
          </c:tx>
          <c:spPr>
            <a:solidFill>
              <a:srgbClr val="000080"/>
            </a:solidFill>
            <a:ln w="25400">
              <a:noFill/>
            </a:ln>
            <a:effectLst/>
          </c:spPr>
          <c:invertIfNegative val="0"/>
          <c:cat>
            <c:strRef>
              <c:f>Charts!$AB$218:$AU$218</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Charts!$AB$219:$AU$219</c:f>
              <c:numCache>
                <c:formatCode>#,##0.0;\-#,##0.0</c:formatCode>
                <c:ptCount val="20"/>
                <c:pt idx="0">
                  <c:v>1.3424747696358053</c:v>
                </c:pt>
                <c:pt idx="1">
                  <c:v>1.1463982193443949</c:v>
                </c:pt>
                <c:pt idx="2">
                  <c:v>1.140433282208589</c:v>
                </c:pt>
                <c:pt idx="3">
                  <c:v>1.0742906441717792</c:v>
                </c:pt>
                <c:pt idx="4">
                  <c:v>2.166546403894472</c:v>
                </c:pt>
                <c:pt idx="5">
                  <c:v>2.1290917271627348</c:v>
                </c:pt>
                <c:pt idx="6">
                  <c:v>2.1109066813509543</c:v>
                </c:pt>
                <c:pt idx="7">
                  <c:v>2.4219691943127968</c:v>
                </c:pt>
                <c:pt idx="8">
                  <c:v>2.4632093619749922</c:v>
                </c:pt>
                <c:pt idx="9">
                  <c:v>2.3437471059661621</c:v>
                </c:pt>
                <c:pt idx="10">
                  <c:v>2.2628982592159161</c:v>
                </c:pt>
                <c:pt idx="11">
                  <c:v>2.5</c:v>
                </c:pt>
                <c:pt idx="12">
                  <c:v>2.7</c:v>
                </c:pt>
                <c:pt idx="13">
                  <c:v>2.8</c:v>
                </c:pt>
                <c:pt idx="14">
                  <c:v>2.6425518116936595</c:v>
                </c:pt>
                <c:pt idx="15">
                  <c:v>2.5023881544841893</c:v>
                </c:pt>
                <c:pt idx="16">
                  <c:v>2.7231034747418366</c:v>
                </c:pt>
                <c:pt idx="17">
                  <c:v>2.67</c:v>
                </c:pt>
                <c:pt idx="18">
                  <c:v>2.5788450524006827</c:v>
                </c:pt>
                <c:pt idx="19">
                  <c:v>2.5997329297820824</c:v>
                </c:pt>
              </c:numCache>
            </c:numRef>
          </c:val>
          <c:extLst>
            <c:ext xmlns:c16="http://schemas.microsoft.com/office/drawing/2014/chart" uri="{C3380CC4-5D6E-409C-BE32-E72D297353CC}">
              <c16:uniqueId val="{00000000-2B11-4203-BF59-979D3675B930}"/>
            </c:ext>
          </c:extLst>
        </c:ser>
        <c:dLbls>
          <c:showLegendKey val="0"/>
          <c:showVal val="0"/>
          <c:showCatName val="0"/>
          <c:showSerName val="0"/>
          <c:showPercent val="0"/>
          <c:showBubbleSize val="0"/>
        </c:dLbls>
        <c:gapWidth val="219"/>
        <c:overlap val="-27"/>
        <c:axId val="691960440"/>
        <c:axId val="691954560"/>
      </c:barChart>
      <c:catAx>
        <c:axId val="691960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54560"/>
        <c:crosses val="autoZero"/>
        <c:auto val="1"/>
        <c:lblAlgn val="ctr"/>
        <c:lblOffset val="100"/>
        <c:noMultiLvlLbl val="0"/>
      </c:catAx>
      <c:valAx>
        <c:axId val="691954560"/>
        <c:scaling>
          <c:orientation val="minMax"/>
        </c:scaling>
        <c:delete val="0"/>
        <c:axPos val="l"/>
        <c:majorGridlines>
          <c:spPr>
            <a:ln w="3175" cap="flat" cmpd="sng" algn="ctr">
              <a:solidFill>
                <a:srgbClr val="C0C0C0"/>
              </a:solidFill>
              <a:prstDash val="solid"/>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6044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lineChart>
        <c:grouping val="standard"/>
        <c:varyColors val="0"/>
        <c:ser>
          <c:idx val="0"/>
          <c:order val="0"/>
          <c:tx>
            <c:strRef>
              <c:f>Charts!$AA$239</c:f>
              <c:strCache>
                <c:ptCount val="1"/>
                <c:pt idx="0">
                  <c:v>Cash Capex to service revs (%)</c:v>
                </c:pt>
              </c:strCache>
            </c:strRef>
          </c:tx>
          <c:spPr>
            <a:ln w="25400" cap="rnd">
              <a:solidFill>
                <a:srgbClr val="333399"/>
              </a:solidFill>
              <a:prstDash val="solid"/>
              <a:round/>
            </a:ln>
            <a:effectLst/>
          </c:spPr>
          <c:marker>
            <c:symbol val="none"/>
          </c:marker>
          <c:cat>
            <c:strRef>
              <c:f>Charts!$AB$238:$AU$238</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Charts!$AB$239:$AU$239</c:f>
              <c:numCache>
                <c:formatCode>0%</c:formatCode>
                <c:ptCount val="20"/>
                <c:pt idx="0">
                  <c:v>0.45730713851458443</c:v>
                </c:pt>
                <c:pt idx="1">
                  <c:v>0.38020379835519769</c:v>
                </c:pt>
                <c:pt idx="2">
                  <c:v>0.31256157345112773</c:v>
                </c:pt>
                <c:pt idx="3">
                  <c:v>0.44028340338561817</c:v>
                </c:pt>
                <c:pt idx="4">
                  <c:v>0.32094701785892044</c:v>
                </c:pt>
                <c:pt idx="5">
                  <c:v>0.41644569760492472</c:v>
                </c:pt>
                <c:pt idx="6">
                  <c:v>0.24935140292608227</c:v>
                </c:pt>
                <c:pt idx="7">
                  <c:v>0.29463415082336281</c:v>
                </c:pt>
                <c:pt idx="8">
                  <c:v>0.31990341336143963</c:v>
                </c:pt>
                <c:pt idx="9">
                  <c:v>0.35328325668003219</c:v>
                </c:pt>
                <c:pt idx="10">
                  <c:v>0.25454998006248764</c:v>
                </c:pt>
                <c:pt idx="11">
                  <c:v>0.2514018447706835</c:v>
                </c:pt>
                <c:pt idx="12">
                  <c:v>0.38121276000309778</c:v>
                </c:pt>
                <c:pt idx="13">
                  <c:v>0.28681521197674587</c:v>
                </c:pt>
                <c:pt idx="14">
                  <c:v>0.27574052807527361</c:v>
                </c:pt>
                <c:pt idx="15">
                  <c:v>0.33091741967441912</c:v>
                </c:pt>
                <c:pt idx="16">
                  <c:v>0.31885008146949112</c:v>
                </c:pt>
                <c:pt idx="17">
                  <c:v>0.36364771943031221</c:v>
                </c:pt>
                <c:pt idx="18">
                  <c:v>0.3732051110072111</c:v>
                </c:pt>
                <c:pt idx="19">
                  <c:v>0.29386930162791469</c:v>
                </c:pt>
              </c:numCache>
            </c:numRef>
          </c:val>
          <c:smooth val="0"/>
          <c:extLst>
            <c:ext xmlns:c16="http://schemas.microsoft.com/office/drawing/2014/chart" uri="{C3380CC4-5D6E-409C-BE32-E72D297353CC}">
              <c16:uniqueId val="{00000000-ECE4-40D6-A0BD-FAA0DBE2D00B}"/>
            </c:ext>
          </c:extLst>
        </c:ser>
        <c:dLbls>
          <c:showLegendKey val="0"/>
          <c:showVal val="0"/>
          <c:showCatName val="0"/>
          <c:showSerName val="0"/>
          <c:showPercent val="0"/>
          <c:showBubbleSize val="0"/>
        </c:dLbls>
        <c:smooth val="0"/>
        <c:axId val="691955344"/>
        <c:axId val="691959264"/>
      </c:lineChart>
      <c:catAx>
        <c:axId val="69195534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59264"/>
        <c:crosses val="autoZero"/>
        <c:auto val="1"/>
        <c:lblAlgn val="ctr"/>
        <c:lblOffset val="100"/>
        <c:noMultiLvlLbl val="0"/>
      </c:catAx>
      <c:valAx>
        <c:axId val="691959264"/>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5534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barChart>
        <c:barDir val="col"/>
        <c:grouping val="clustered"/>
        <c:varyColors val="0"/>
        <c:ser>
          <c:idx val="0"/>
          <c:order val="0"/>
          <c:tx>
            <c:strRef>
              <c:f>Charts!$AA$246</c:f>
              <c:strCache>
                <c:ptCount val="1"/>
                <c:pt idx="0">
                  <c:v>OpFCF</c:v>
                </c:pt>
              </c:strCache>
            </c:strRef>
          </c:tx>
          <c:spPr>
            <a:solidFill>
              <a:srgbClr val="000080"/>
            </a:solidFill>
            <a:ln w="25400">
              <a:noFill/>
            </a:ln>
            <a:effectLst/>
          </c:spPr>
          <c:invertIfNegative val="0"/>
          <c:cat>
            <c:strRef>
              <c:f>Charts!$AB$245:$AU$245</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Charts!$AB$246:$AU$246</c:f>
              <c:numCache>
                <c:formatCode>#,##0_);\(#,##0\)</c:formatCode>
                <c:ptCount val="20"/>
                <c:pt idx="0">
                  <c:v>768</c:v>
                </c:pt>
                <c:pt idx="1">
                  <c:v>376</c:v>
                </c:pt>
                <c:pt idx="2">
                  <c:v>699</c:v>
                </c:pt>
                <c:pt idx="3">
                  <c:v>127</c:v>
                </c:pt>
                <c:pt idx="4">
                  <c:v>1400</c:v>
                </c:pt>
                <c:pt idx="5">
                  <c:v>1355</c:v>
                </c:pt>
                <c:pt idx="6">
                  <c:v>2071</c:v>
                </c:pt>
                <c:pt idx="7">
                  <c:v>2079</c:v>
                </c:pt>
                <c:pt idx="8">
                  <c:v>1403</c:v>
                </c:pt>
                <c:pt idx="9">
                  <c:v>512</c:v>
                </c:pt>
                <c:pt idx="10">
                  <c:v>1635</c:v>
                </c:pt>
                <c:pt idx="11">
                  <c:v>3381</c:v>
                </c:pt>
                <c:pt idx="12">
                  <c:v>3174</c:v>
                </c:pt>
                <c:pt idx="13">
                  <c:v>457.53800000000047</c:v>
                </c:pt>
                <c:pt idx="14">
                  <c:v>3643</c:v>
                </c:pt>
                <c:pt idx="15">
                  <c:v>3858</c:v>
                </c:pt>
                <c:pt idx="16">
                  <c:v>3583</c:v>
                </c:pt>
                <c:pt idx="17">
                  <c:v>4069</c:v>
                </c:pt>
                <c:pt idx="18">
                  <c:v>4103</c:v>
                </c:pt>
                <c:pt idx="19">
                  <c:v>4130</c:v>
                </c:pt>
              </c:numCache>
            </c:numRef>
          </c:val>
          <c:extLst>
            <c:ext xmlns:c16="http://schemas.microsoft.com/office/drawing/2014/chart" uri="{C3380CC4-5D6E-409C-BE32-E72D297353CC}">
              <c16:uniqueId val="{00000000-668D-487E-B8B8-585BB15CFD5B}"/>
            </c:ext>
          </c:extLst>
        </c:ser>
        <c:dLbls>
          <c:showLegendKey val="0"/>
          <c:showVal val="0"/>
          <c:showCatName val="0"/>
          <c:showSerName val="0"/>
          <c:showPercent val="0"/>
          <c:showBubbleSize val="0"/>
        </c:dLbls>
        <c:gapWidth val="219"/>
        <c:overlap val="-27"/>
        <c:axId val="691957696"/>
        <c:axId val="691958088"/>
      </c:barChart>
      <c:catAx>
        <c:axId val="69195769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58088"/>
        <c:crosses val="autoZero"/>
        <c:auto val="1"/>
        <c:lblAlgn val="ctr"/>
        <c:lblOffset val="100"/>
        <c:noMultiLvlLbl val="0"/>
      </c:catAx>
      <c:valAx>
        <c:axId val="691958088"/>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195769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'Domestic Mobile Operations'!$A$10</c:f>
              <c:strCache>
                <c:ptCount val="1"/>
                <c:pt idx="0">
                  <c:v>2G</c:v>
                </c:pt>
              </c:strCache>
            </c:strRef>
          </c:tx>
          <c:spPr>
            <a:solidFill>
              <a:srgbClr val="000080"/>
            </a:solidFill>
            <a:ln w="25400">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Operations'!$D$10:$S$10</c:f>
              <c:numCache>
                <c:formatCode>_-* #,##0_-;\-* #,##0_-;_-* "-"??_-;_-@_-</c:formatCode>
                <c:ptCount val="16"/>
                <c:pt idx="0">
                  <c:v>26524</c:v>
                </c:pt>
                <c:pt idx="1">
                  <c:v>27107</c:v>
                </c:pt>
                <c:pt idx="2">
                  <c:v>28074</c:v>
                </c:pt>
                <c:pt idx="3">
                  <c:v>29878</c:v>
                </c:pt>
                <c:pt idx="4">
                  <c:v>30655</c:v>
                </c:pt>
                <c:pt idx="5">
                  <c:v>32635</c:v>
                </c:pt>
                <c:pt idx="6">
                  <c:v>34253</c:v>
                </c:pt>
                <c:pt idx="7">
                  <c:v>36006</c:v>
                </c:pt>
                <c:pt idx="8">
                  <c:v>36331</c:v>
                </c:pt>
                <c:pt idx="9">
                  <c:v>37072</c:v>
                </c:pt>
                <c:pt idx="10">
                  <c:v>37364</c:v>
                </c:pt>
                <c:pt idx="11">
                  <c:v>37506</c:v>
                </c:pt>
                <c:pt idx="12">
                  <c:v>37430</c:v>
                </c:pt>
                <c:pt idx="13">
                  <c:v>37629</c:v>
                </c:pt>
                <c:pt idx="14">
                  <c:v>37582</c:v>
                </c:pt>
                <c:pt idx="15">
                  <c:v>37549</c:v>
                </c:pt>
              </c:numCache>
            </c:numRef>
          </c:val>
          <c:extLst>
            <c:ext xmlns:c16="http://schemas.microsoft.com/office/drawing/2014/chart" uri="{C3380CC4-5D6E-409C-BE32-E72D297353CC}">
              <c16:uniqueId val="{00000000-82E2-4ADD-8D2A-D8B2439AEBFB}"/>
            </c:ext>
          </c:extLst>
        </c:ser>
        <c:ser>
          <c:idx val="1"/>
          <c:order val="1"/>
          <c:tx>
            <c:strRef>
              <c:f>'Domestic Mobile Operations'!$A$11</c:f>
              <c:strCache>
                <c:ptCount val="1"/>
                <c:pt idx="0">
                  <c:v>3G</c:v>
                </c:pt>
              </c:strCache>
            </c:strRef>
          </c:tx>
          <c:spPr>
            <a:solidFill>
              <a:srgbClr val="9999FF"/>
            </a:solidFill>
            <a:ln w="25400">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Operations'!$D$11:$S$11</c:f>
              <c:numCache>
                <c:formatCode>_-* #,##0_-;\-* #,##0_-;_-* "-"??_-;_-@_-</c:formatCode>
                <c:ptCount val="16"/>
                <c:pt idx="0">
                  <c:v>13295</c:v>
                </c:pt>
                <c:pt idx="1">
                  <c:v>14186</c:v>
                </c:pt>
                <c:pt idx="2">
                  <c:v>14722</c:v>
                </c:pt>
                <c:pt idx="3">
                  <c:v>15068</c:v>
                </c:pt>
                <c:pt idx="4">
                  <c:v>14945</c:v>
                </c:pt>
                <c:pt idx="5">
                  <c:v>15179</c:v>
                </c:pt>
                <c:pt idx="6">
                  <c:v>15429</c:v>
                </c:pt>
                <c:pt idx="7">
                  <c:v>16006</c:v>
                </c:pt>
                <c:pt idx="8">
                  <c:v>16431</c:v>
                </c:pt>
                <c:pt idx="9">
                  <c:v>17246</c:v>
                </c:pt>
                <c:pt idx="10">
                  <c:v>17918</c:v>
                </c:pt>
                <c:pt idx="11">
                  <c:v>18239</c:v>
                </c:pt>
                <c:pt idx="12">
                  <c:v>18324</c:v>
                </c:pt>
                <c:pt idx="13">
                  <c:v>23474</c:v>
                </c:pt>
                <c:pt idx="14">
                  <c:v>33939</c:v>
                </c:pt>
                <c:pt idx="15">
                  <c:v>38731</c:v>
                </c:pt>
              </c:numCache>
            </c:numRef>
          </c:val>
          <c:extLst>
            <c:ext xmlns:c16="http://schemas.microsoft.com/office/drawing/2014/chart" uri="{C3380CC4-5D6E-409C-BE32-E72D297353CC}">
              <c16:uniqueId val="{00000001-82E2-4ADD-8D2A-D8B2439AEBFB}"/>
            </c:ext>
          </c:extLst>
        </c:ser>
        <c:ser>
          <c:idx val="2"/>
          <c:order val="2"/>
          <c:tx>
            <c:strRef>
              <c:f>'Domestic Mobile Operations'!$A$12</c:f>
              <c:strCache>
                <c:ptCount val="1"/>
                <c:pt idx="0">
                  <c:v>4G</c:v>
                </c:pt>
              </c:strCache>
            </c:strRef>
          </c:tx>
          <c:spPr>
            <a:solidFill>
              <a:srgbClr val="3366FF"/>
            </a:solidFill>
            <a:ln w="25400">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Operations'!$D$12:$S$12</c:f>
              <c:numCache>
                <c:formatCode>_-* #,##0_-;\-* #,##0_-;_-* "-"??_-;_-@_-</c:formatCode>
                <c:ptCount val="16"/>
                <c:pt idx="0">
                  <c:v>0</c:v>
                </c:pt>
                <c:pt idx="1">
                  <c:v>0</c:v>
                </c:pt>
                <c:pt idx="2">
                  <c:v>0</c:v>
                </c:pt>
                <c:pt idx="3">
                  <c:v>0</c:v>
                </c:pt>
                <c:pt idx="4">
                  <c:v>0</c:v>
                </c:pt>
                <c:pt idx="5">
                  <c:v>0</c:v>
                </c:pt>
                <c:pt idx="6">
                  <c:v>0</c:v>
                </c:pt>
                <c:pt idx="7">
                  <c:v>0</c:v>
                </c:pt>
                <c:pt idx="8">
                  <c:v>180</c:v>
                </c:pt>
                <c:pt idx="9">
                  <c:v>232</c:v>
                </c:pt>
                <c:pt idx="10">
                  <c:v>1018</c:v>
                </c:pt>
                <c:pt idx="11">
                  <c:v>3134</c:v>
                </c:pt>
                <c:pt idx="12">
                  <c:v>3286</c:v>
                </c:pt>
                <c:pt idx="13">
                  <c:v>5250</c:v>
                </c:pt>
                <c:pt idx="14">
                  <c:v>7204</c:v>
                </c:pt>
                <c:pt idx="15">
                  <c:v>8204</c:v>
                </c:pt>
              </c:numCache>
            </c:numRef>
          </c:val>
          <c:extLst>
            <c:ext xmlns:c16="http://schemas.microsoft.com/office/drawing/2014/chart" uri="{C3380CC4-5D6E-409C-BE32-E72D297353CC}">
              <c16:uniqueId val="{00000002-82E2-4ADD-8D2A-D8B2439AEBFB}"/>
            </c:ext>
          </c:extLst>
        </c:ser>
        <c:dLbls>
          <c:showLegendKey val="0"/>
          <c:showVal val="0"/>
          <c:showCatName val="0"/>
          <c:showSerName val="0"/>
          <c:showPercent val="0"/>
          <c:showBubbleSize val="0"/>
        </c:dLbls>
        <c:gapWidth val="150"/>
        <c:overlap val="100"/>
        <c:axId val="843664536"/>
        <c:axId val="843667488"/>
      </c:barChart>
      <c:catAx>
        <c:axId val="843664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843667488"/>
        <c:crosses val="autoZero"/>
        <c:auto val="1"/>
        <c:lblAlgn val="ctr"/>
        <c:lblOffset val="100"/>
        <c:noMultiLvlLbl val="0"/>
      </c:catAx>
      <c:valAx>
        <c:axId val="843667488"/>
        <c:scaling>
          <c:orientation val="minMax"/>
        </c:scaling>
        <c:delete val="0"/>
        <c:axPos val="l"/>
        <c:majorGridlines>
          <c:spPr>
            <a:ln w="3175" cap="flat" cmpd="sng" algn="ctr">
              <a:solidFill>
                <a:srgbClr val="C0C0C0"/>
              </a:solidFill>
              <a:prstDash val="solid"/>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843664536"/>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2"/>
          <c:order val="2"/>
          <c:spPr>
            <a:solidFill>
              <a:schemeClr val="accent3"/>
            </a:solidFill>
            <a:ln>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Operations'!$D$4:$S$4</c:f>
            </c:numRef>
          </c:val>
          <c:extLst>
            <c:ext xmlns:c16="http://schemas.microsoft.com/office/drawing/2014/chart" uri="{C3380CC4-5D6E-409C-BE32-E72D297353CC}">
              <c16:uniqueId val="{00000000-6EEC-402C-931B-B5840731AD92}"/>
            </c:ext>
          </c:extLst>
        </c:ser>
        <c:ser>
          <c:idx val="3"/>
          <c:order val="3"/>
          <c:spPr>
            <a:solidFill>
              <a:schemeClr val="accent4"/>
            </a:solidFill>
            <a:ln>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Operations'!$D$5:$S$5</c:f>
            </c:numRef>
          </c:val>
          <c:extLst>
            <c:ext xmlns:c16="http://schemas.microsoft.com/office/drawing/2014/chart" uri="{C3380CC4-5D6E-409C-BE32-E72D297353CC}">
              <c16:uniqueId val="{00000001-6EEC-402C-931B-B5840731AD92}"/>
            </c:ext>
          </c:extLst>
        </c:ser>
        <c:ser>
          <c:idx val="4"/>
          <c:order val="4"/>
          <c:spPr>
            <a:solidFill>
              <a:schemeClr val="accent5"/>
            </a:solidFill>
            <a:ln>
              <a:noFill/>
            </a:ln>
            <a:effectLst/>
          </c:spPr>
          <c:invertIfNegative val="0"/>
          <c:cat>
            <c:strRef>
              <c:f>'Domestic Mobile Operations'!$D$1:$S$1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'Domestic Mobile Operations'!$D$6:$S$6</c:f>
            </c:numRef>
          </c:val>
          <c:extLst>
            <c:ext xmlns:c16="http://schemas.microsoft.com/office/drawing/2014/chart" uri="{C3380CC4-5D6E-409C-BE32-E72D297353CC}">
              <c16:uniqueId val="{00000002-6EEC-402C-931B-B5840731AD92}"/>
            </c:ext>
          </c:extLst>
        </c:ser>
        <c:ser>
          <c:idx val="5"/>
          <c:order val="5"/>
          <c:spPr>
            <a:solidFill>
              <a:schemeClr val="accent6"/>
            </a:solidFill>
            <a:ln>
              <a:noFill/>
            </a:ln>
            <a:effectLst/>
          </c:spPr>
          <c:invertIfNegative val="0"/>
          <c:cat>
            <c:strRef>
              <c:f>'FBB KPI'!$D$1:$S$1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'FBB KPI'!$D$7:$S$7</c:f>
              <c:numCache>
                <c:formatCode>0.0%</c:formatCode>
                <c:ptCount val="16"/>
              </c:numCache>
            </c:numRef>
          </c:val>
          <c:extLst>
            <c:ext xmlns:c16="http://schemas.microsoft.com/office/drawing/2014/chart" uri="{C3380CC4-5D6E-409C-BE32-E72D297353CC}">
              <c16:uniqueId val="{00000003-6EEC-402C-931B-B5840731AD92}"/>
            </c:ext>
          </c:extLst>
        </c:ser>
        <c:ser>
          <c:idx val="6"/>
          <c:order val="6"/>
          <c:spPr>
            <a:solidFill>
              <a:schemeClr val="accent1">
                <a:lumMod val="60000"/>
              </a:schemeClr>
            </a:solidFill>
            <a:ln>
              <a:noFill/>
            </a:ln>
            <a:effectLst/>
          </c:spPr>
          <c:invertIfNegative val="0"/>
          <c:cat>
            <c:strRef>
              <c:f>'FBB KPI'!$D$1:$S$1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'FBB KPI'!$D$10:$S$10</c:f>
              <c:numCache>
                <c:formatCode>_-* #,##0_-;\-* #,##0_-;_-* "-"??_-;_-@_-</c:formatCode>
                <c:ptCount val="16"/>
              </c:numCache>
            </c:numRef>
          </c:val>
          <c:extLst xmlns:c15="http://schemas.microsoft.com/office/drawing/2012/chart">
            <c:ext xmlns:c16="http://schemas.microsoft.com/office/drawing/2014/chart" uri="{C3380CC4-5D6E-409C-BE32-E72D297353CC}">
              <c16:uniqueId val="{00000009-6EEC-402C-931B-B5840731AD92}"/>
            </c:ext>
          </c:extLst>
        </c:ser>
        <c:ser>
          <c:idx val="7"/>
          <c:order val="7"/>
          <c:spPr>
            <a:solidFill>
              <a:schemeClr val="accent2">
                <a:lumMod val="60000"/>
              </a:schemeClr>
            </a:solidFill>
            <a:ln>
              <a:noFill/>
            </a:ln>
            <a:effectLst/>
          </c:spPr>
          <c:invertIfNegative val="0"/>
          <c:cat>
            <c:strRef>
              <c:f>'FBB KPI'!$D$1:$S$1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'FBB KPI'!$D$11:$S$11</c:f>
              <c:numCache>
                <c:formatCode>General</c:formatCode>
                <c:ptCount val="16"/>
              </c:numCache>
            </c:numRef>
          </c:val>
          <c:extLst xmlns:c15="http://schemas.microsoft.com/office/drawing/2012/chart">
            <c:ext xmlns:c16="http://schemas.microsoft.com/office/drawing/2014/chart" uri="{C3380CC4-5D6E-409C-BE32-E72D297353CC}">
              <c16:uniqueId val="{0000000A-6EEC-402C-931B-B5840731AD92}"/>
            </c:ext>
          </c:extLst>
        </c:ser>
        <c:ser>
          <c:idx val="8"/>
          <c:order val="8"/>
          <c:spPr>
            <a:solidFill>
              <a:schemeClr val="accent3">
                <a:lumMod val="60000"/>
              </a:schemeClr>
            </a:solidFill>
            <a:ln>
              <a:noFill/>
            </a:ln>
            <a:effectLst/>
          </c:spPr>
          <c:invertIfNegative val="0"/>
          <c:cat>
            <c:strRef>
              <c:f>'FBB KPI'!$D$1:$S$1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'FBB KPI'!$D$12:$S$12</c:f>
              <c:numCache>
                <c:formatCode>General</c:formatCode>
                <c:ptCount val="16"/>
              </c:numCache>
            </c:numRef>
          </c:val>
          <c:extLst>
            <c:ext xmlns:c16="http://schemas.microsoft.com/office/drawing/2014/chart" uri="{C3380CC4-5D6E-409C-BE32-E72D297353CC}">
              <c16:uniqueId val="{00000004-6EEC-402C-931B-B5840731AD92}"/>
            </c:ext>
          </c:extLst>
        </c:ser>
        <c:ser>
          <c:idx val="9"/>
          <c:order val="9"/>
          <c:spPr>
            <a:solidFill>
              <a:schemeClr val="accent4">
                <a:lumMod val="60000"/>
              </a:schemeClr>
            </a:solidFill>
            <a:ln>
              <a:noFill/>
            </a:ln>
            <a:effectLst/>
          </c:spPr>
          <c:invertIfNegative val="0"/>
          <c:cat>
            <c:strRef>
              <c:f>'FBB KPI'!$D$1:$S$1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'FBB KPI'!$D$13:$S$13</c:f>
              <c:numCache>
                <c:formatCode>General</c:formatCode>
                <c:ptCount val="16"/>
              </c:numCache>
            </c:numRef>
          </c:val>
          <c:extLst>
            <c:ext xmlns:c16="http://schemas.microsoft.com/office/drawing/2014/chart" uri="{C3380CC4-5D6E-409C-BE32-E72D297353CC}">
              <c16:uniqueId val="{00000005-6EEC-402C-931B-B5840731AD92}"/>
            </c:ext>
          </c:extLst>
        </c:ser>
        <c:ser>
          <c:idx val="10"/>
          <c:order val="10"/>
          <c:spPr>
            <a:solidFill>
              <a:schemeClr val="accent5">
                <a:lumMod val="60000"/>
              </a:schemeClr>
            </a:solidFill>
            <a:ln>
              <a:noFill/>
            </a:ln>
            <a:effectLst/>
          </c:spPr>
          <c:invertIfNegative val="0"/>
          <c:cat>
            <c:strRef>
              <c:f>'FBB KPI'!$D$1:$S$1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'FBB KPI'!$D$14:$S$14</c:f>
              <c:numCache>
                <c:formatCode>General</c:formatCode>
                <c:ptCount val="16"/>
              </c:numCache>
            </c:numRef>
          </c:val>
          <c:extLst>
            <c:ext xmlns:c16="http://schemas.microsoft.com/office/drawing/2014/chart" uri="{C3380CC4-5D6E-409C-BE32-E72D297353CC}">
              <c16:uniqueId val="{00000006-6EEC-402C-931B-B5840731AD92}"/>
            </c:ext>
          </c:extLst>
        </c:ser>
        <c:dLbls>
          <c:showLegendKey val="0"/>
          <c:showVal val="0"/>
          <c:showCatName val="0"/>
          <c:showSerName val="0"/>
          <c:showPercent val="0"/>
          <c:showBubbleSize val="0"/>
        </c:dLbls>
        <c:gapWidth val="150"/>
        <c:overlap val="100"/>
        <c:axId val="948003744"/>
        <c:axId val="948005384"/>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'FBB KPI'!$D$1:$S$1</c15:sqref>
                        </c15:formulaRef>
                      </c:ext>
                    </c:extLst>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extLst>
                      <c:ext uri="{02D57815-91ED-43cb-92C2-25804820EDAC}">
                        <c15:formulaRef>
                          <c15:sqref>'FBB KPI'!$D$2:$S$2</c15:sqref>
                        </c15:formulaRef>
                      </c:ext>
                    </c:extLst>
                    <c:numCache>
                      <c:formatCode>General</c:formatCode>
                      <c:ptCount val="16"/>
                    </c:numCache>
                  </c:numRef>
                </c:val>
                <c:extLst>
                  <c:ext xmlns:c16="http://schemas.microsoft.com/office/drawing/2014/chart" uri="{C3380CC4-5D6E-409C-BE32-E72D297353CC}">
                    <c16:uniqueId val="{00000007-6EEC-402C-931B-B5840731AD92}"/>
                  </c:ext>
                </c:extLst>
              </c15:ser>
            </c15:filteredBarSeries>
            <c15:filteredBarSeries>
              <c15:ser>
                <c:idx val="1"/>
                <c:order val="1"/>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'FBB KPI'!$D$1:$S$1</c15:sqref>
                        </c15:formulaRef>
                      </c:ext>
                    </c:extLst>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extLst xmlns:c15="http://schemas.microsoft.com/office/drawing/2012/chart">
                      <c:ext xmlns:c15="http://schemas.microsoft.com/office/drawing/2012/chart" uri="{02D57815-91ED-43cb-92C2-25804820EDAC}">
                        <c15:formulaRef>
                          <c15:sqref>'FBB KPI'!$D$3:$S$3</c15:sqref>
                        </c15:formulaRef>
                      </c:ext>
                    </c:extLst>
                    <c:numCache>
                      <c:formatCode>General</c:formatCode>
                      <c:ptCount val="16"/>
                    </c:numCache>
                  </c:numRef>
                </c:val>
                <c:extLst xmlns:c15="http://schemas.microsoft.com/office/drawing/2012/chart">
                  <c:ext xmlns:c16="http://schemas.microsoft.com/office/drawing/2014/chart" uri="{C3380CC4-5D6E-409C-BE32-E72D297353CC}">
                    <c16:uniqueId val="{00000008-6EEC-402C-931B-B5840731AD92}"/>
                  </c:ext>
                </c:extLst>
              </c15:ser>
            </c15:filteredBarSeries>
          </c:ext>
        </c:extLst>
      </c:barChart>
      <c:catAx>
        <c:axId val="948003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8005384"/>
        <c:crosses val="autoZero"/>
        <c:auto val="1"/>
        <c:lblAlgn val="ctr"/>
        <c:lblOffset val="100"/>
        <c:noMultiLvlLbl val="0"/>
      </c:catAx>
      <c:valAx>
        <c:axId val="9480053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8003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'FBB KPI'!$A$12</c:f>
              <c:strCache>
                <c:ptCount val="1"/>
              </c:strCache>
            </c:strRef>
          </c:tx>
          <c:spPr>
            <a:solidFill>
              <a:srgbClr val="000080"/>
            </a:solidFill>
            <a:ln w="25400">
              <a:noFill/>
            </a:ln>
            <a:effectLst/>
          </c:spPr>
          <c:invertIfNegative val="0"/>
          <c:cat>
            <c:strRef>
              <c:f>'FBB KPI'!$D$1:$S$1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'FBB KPI'!$D$12:$S$12</c:f>
              <c:numCache>
                <c:formatCode>General</c:formatCode>
                <c:ptCount val="16"/>
              </c:numCache>
            </c:numRef>
          </c:val>
          <c:extLst>
            <c:ext xmlns:c16="http://schemas.microsoft.com/office/drawing/2014/chart" uri="{C3380CC4-5D6E-409C-BE32-E72D297353CC}">
              <c16:uniqueId val="{00000000-20A2-4120-96F8-D39CC6E759AD}"/>
            </c:ext>
          </c:extLst>
        </c:ser>
        <c:ser>
          <c:idx val="1"/>
          <c:order val="1"/>
          <c:tx>
            <c:strRef>
              <c:f>'FBB KPI'!$A$13</c:f>
              <c:strCache>
                <c:ptCount val="1"/>
              </c:strCache>
            </c:strRef>
          </c:tx>
          <c:spPr>
            <a:solidFill>
              <a:srgbClr val="9999FF"/>
            </a:solidFill>
            <a:ln w="25400">
              <a:noFill/>
            </a:ln>
            <a:effectLst/>
          </c:spPr>
          <c:invertIfNegative val="0"/>
          <c:cat>
            <c:strRef>
              <c:f>'FBB KPI'!$D$1:$S$1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'FBB KPI'!$D$13:$S$13</c:f>
              <c:numCache>
                <c:formatCode>General</c:formatCode>
                <c:ptCount val="16"/>
              </c:numCache>
            </c:numRef>
          </c:val>
          <c:extLst>
            <c:ext xmlns:c16="http://schemas.microsoft.com/office/drawing/2014/chart" uri="{C3380CC4-5D6E-409C-BE32-E72D297353CC}">
              <c16:uniqueId val="{00000001-20A2-4120-96F8-D39CC6E759AD}"/>
            </c:ext>
          </c:extLst>
        </c:ser>
        <c:ser>
          <c:idx val="2"/>
          <c:order val="2"/>
          <c:tx>
            <c:strRef>
              <c:f>'FBB KPI'!$A$14</c:f>
              <c:strCache>
                <c:ptCount val="1"/>
              </c:strCache>
            </c:strRef>
          </c:tx>
          <c:spPr>
            <a:solidFill>
              <a:srgbClr val="3366FF"/>
            </a:solidFill>
            <a:ln w="25400">
              <a:noFill/>
            </a:ln>
            <a:effectLst/>
          </c:spPr>
          <c:invertIfNegative val="0"/>
          <c:cat>
            <c:strRef>
              <c:f>'FBB KPI'!$D$1:$S$1</c:f>
              <c:strCache>
                <c:ptCount val="16"/>
                <c:pt idx="0">
                  <c:v>1Q13</c:v>
                </c:pt>
                <c:pt idx="1">
                  <c:v>2Q13</c:v>
                </c:pt>
                <c:pt idx="2">
                  <c:v>3Q13</c:v>
                </c:pt>
                <c:pt idx="3">
                  <c:v>4Q13</c:v>
                </c:pt>
                <c:pt idx="4">
                  <c:v>1Q14</c:v>
                </c:pt>
                <c:pt idx="5">
                  <c:v>2Q14</c:v>
                </c:pt>
                <c:pt idx="6">
                  <c:v>3Q14</c:v>
                </c:pt>
                <c:pt idx="7">
                  <c:v>4Q14</c:v>
                </c:pt>
                <c:pt idx="8">
                  <c:v>1Q15</c:v>
                </c:pt>
                <c:pt idx="9">
                  <c:v>2Q15</c:v>
                </c:pt>
                <c:pt idx="10">
                  <c:v>3Q15</c:v>
                </c:pt>
                <c:pt idx="11">
                  <c:v>4Q15</c:v>
                </c:pt>
                <c:pt idx="12">
                  <c:v>1Q16</c:v>
                </c:pt>
                <c:pt idx="13">
                  <c:v>2Q16</c:v>
                </c:pt>
                <c:pt idx="14">
                  <c:v>3Q16</c:v>
                </c:pt>
                <c:pt idx="15">
                  <c:v>4Q16</c:v>
                </c:pt>
              </c:strCache>
            </c:strRef>
          </c:cat>
          <c:val>
            <c:numRef>
              <c:f>'FBB KPI'!$D$14:$S$14</c:f>
              <c:numCache>
                <c:formatCode>General</c:formatCode>
                <c:ptCount val="16"/>
              </c:numCache>
            </c:numRef>
          </c:val>
          <c:extLst>
            <c:ext xmlns:c16="http://schemas.microsoft.com/office/drawing/2014/chart" uri="{C3380CC4-5D6E-409C-BE32-E72D297353CC}">
              <c16:uniqueId val="{00000002-20A2-4120-96F8-D39CC6E759AD}"/>
            </c:ext>
          </c:extLst>
        </c:ser>
        <c:dLbls>
          <c:showLegendKey val="0"/>
          <c:showVal val="0"/>
          <c:showCatName val="0"/>
          <c:showSerName val="0"/>
          <c:showPercent val="0"/>
          <c:showBubbleSize val="0"/>
        </c:dLbls>
        <c:gapWidth val="150"/>
        <c:overlap val="100"/>
        <c:axId val="843664536"/>
        <c:axId val="843667488"/>
      </c:barChart>
      <c:catAx>
        <c:axId val="843664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843667488"/>
        <c:crosses val="autoZero"/>
        <c:auto val="1"/>
        <c:lblAlgn val="ctr"/>
        <c:lblOffset val="100"/>
        <c:noMultiLvlLbl val="0"/>
      </c:catAx>
      <c:valAx>
        <c:axId val="843667488"/>
        <c:scaling>
          <c:orientation val="minMax"/>
        </c:scaling>
        <c:delete val="0"/>
        <c:axPos val="l"/>
        <c:majorGridlines>
          <c:spPr>
            <a:ln w="3175" cap="flat" cmpd="sng" algn="ctr">
              <a:solidFill>
                <a:srgbClr val="C0C0C0"/>
              </a:solidFill>
              <a:prstDash val="solid"/>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843664536"/>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barChart>
        <c:barDir val="col"/>
        <c:grouping val="clustered"/>
        <c:varyColors val="0"/>
        <c:ser>
          <c:idx val="0"/>
          <c:order val="0"/>
          <c:tx>
            <c:strRef>
              <c:f>Charts!$AA$16</c:f>
              <c:strCache>
                <c:ptCount val="1"/>
                <c:pt idx="0">
                  <c:v>Service Revenues</c:v>
                </c:pt>
              </c:strCache>
            </c:strRef>
          </c:tx>
          <c:spPr>
            <a:solidFill>
              <a:srgbClr val="000080"/>
            </a:solidFill>
            <a:ln w="25400">
              <a:noFill/>
            </a:ln>
            <a:effectLst/>
          </c:spPr>
          <c:invertIfNegative val="0"/>
          <c:cat>
            <c:strRef>
              <c:f>Charts!$AB$15:$AU$15</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Charts!$AB$16:$AU$16</c:f>
              <c:numCache>
                <c:formatCode>#,##0_);\(#,##0\)</c:formatCode>
                <c:ptCount val="20"/>
                <c:pt idx="0">
                  <c:v>5416.491</c:v>
                </c:pt>
                <c:pt idx="1">
                  <c:v>5702.2049999999999</c:v>
                </c:pt>
                <c:pt idx="2">
                  <c:v>5938.03</c:v>
                </c:pt>
                <c:pt idx="3">
                  <c:v>5893.9310000000005</c:v>
                </c:pt>
                <c:pt idx="4">
                  <c:v>6007.1940000000004</c:v>
                </c:pt>
                <c:pt idx="5">
                  <c:v>6179.2209999999995</c:v>
                </c:pt>
                <c:pt idx="6">
                  <c:v>6149.0410000000002</c:v>
                </c:pt>
                <c:pt idx="7">
                  <c:v>5877.299</c:v>
                </c:pt>
                <c:pt idx="8">
                  <c:v>5787.55</c:v>
                </c:pt>
                <c:pt idx="9">
                  <c:v>6279.5730000000003</c:v>
                </c:pt>
                <c:pt idx="10">
                  <c:v>6339.808</c:v>
                </c:pt>
                <c:pt idx="11">
                  <c:v>6399.6030000000001</c:v>
                </c:pt>
                <c:pt idx="12">
                  <c:v>6481.942</c:v>
                </c:pt>
                <c:pt idx="13">
                  <c:v>6915.7349999999997</c:v>
                </c:pt>
                <c:pt idx="14">
                  <c:v>7106.4489999999996</c:v>
                </c:pt>
                <c:pt idx="15">
                  <c:v>7303.9309999999996</c:v>
                </c:pt>
                <c:pt idx="16">
                  <c:v>7295.3689999999997</c:v>
                </c:pt>
                <c:pt idx="17">
                  <c:v>7885.442</c:v>
                </c:pt>
                <c:pt idx="18">
                  <c:v>7678.3300000000008</c:v>
                </c:pt>
                <c:pt idx="19">
                  <c:v>8048.0879999999988</c:v>
                </c:pt>
              </c:numCache>
            </c:numRef>
          </c:val>
          <c:extLst>
            <c:ext xmlns:c16="http://schemas.microsoft.com/office/drawing/2014/chart" uri="{C3380CC4-5D6E-409C-BE32-E72D297353CC}">
              <c16:uniqueId val="{00000000-EAFA-423A-9059-64FB919D837A}"/>
            </c:ext>
          </c:extLst>
        </c:ser>
        <c:dLbls>
          <c:showLegendKey val="0"/>
          <c:showVal val="0"/>
          <c:showCatName val="0"/>
          <c:showSerName val="0"/>
          <c:showPercent val="0"/>
          <c:showBubbleSize val="0"/>
        </c:dLbls>
        <c:gapWidth val="219"/>
        <c:overlap val="-27"/>
        <c:axId val="345358640"/>
        <c:axId val="345359032"/>
      </c:barChart>
      <c:catAx>
        <c:axId val="345358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45359032"/>
        <c:crosses val="autoZero"/>
        <c:auto val="1"/>
        <c:lblAlgn val="ctr"/>
        <c:lblOffset val="100"/>
        <c:noMultiLvlLbl val="0"/>
      </c:catAx>
      <c:valAx>
        <c:axId val="345359032"/>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4535864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lineChart>
        <c:grouping val="standard"/>
        <c:varyColors val="0"/>
        <c:ser>
          <c:idx val="0"/>
          <c:order val="0"/>
          <c:tx>
            <c:strRef>
              <c:f>Charts!$AA$22</c:f>
              <c:strCache>
                <c:ptCount val="1"/>
                <c:pt idx="0">
                  <c:v>Group Service Revenue (Ex-IC) Growth YoY</c:v>
                </c:pt>
              </c:strCache>
            </c:strRef>
          </c:tx>
          <c:spPr>
            <a:ln w="25400" cap="rnd">
              <a:solidFill>
                <a:srgbClr val="333399"/>
              </a:solidFill>
              <a:prstDash val="solid"/>
              <a:round/>
            </a:ln>
            <a:effectLst/>
          </c:spPr>
          <c:marker>
            <c:symbol val="none"/>
          </c:marker>
          <c:cat>
            <c:strRef>
              <c:f>Charts!$AB$21:$AU$21</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Charts!$AB$22:$AU$22</c:f>
              <c:numCache>
                <c:formatCode>0%</c:formatCode>
                <c:ptCount val="20"/>
                <c:pt idx="0">
                  <c:v>0.11601921373518742</c:v>
                </c:pt>
                <c:pt idx="1">
                  <c:v>0.17762400697049041</c:v>
                </c:pt>
                <c:pt idx="2">
                  <c:v>0.1764965781122021</c:v>
                </c:pt>
                <c:pt idx="3">
                  <c:v>0.10308872201165031</c:v>
                </c:pt>
                <c:pt idx="4">
                  <c:v>0.10905639832134861</c:v>
                </c:pt>
                <c:pt idx="5">
                  <c:v>8.3654656400462546E-2</c:v>
                </c:pt>
                <c:pt idx="6">
                  <c:v>3.5535522723866508E-2</c:v>
                </c:pt>
                <c:pt idx="7">
                  <c:v>0</c:v>
                </c:pt>
                <c:pt idx="8">
                  <c:v>-3.6563493704381833E-2</c:v>
                </c:pt>
                <c:pt idx="9">
                  <c:v>1.6240234812770149E-2</c:v>
                </c:pt>
                <c:pt idx="10">
                  <c:v>3.0826945033436637E-2</c:v>
                </c:pt>
                <c:pt idx="11">
                  <c:v>8.8868032747695835E-2</c:v>
                </c:pt>
                <c:pt idx="12">
                  <c:v>0.11998030254598224</c:v>
                </c:pt>
                <c:pt idx="13">
                  <c:v>0.10130656973013918</c:v>
                </c:pt>
                <c:pt idx="14">
                  <c:v>0.1209249554560643</c:v>
                </c:pt>
                <c:pt idx="15">
                  <c:v>0.14131001563690737</c:v>
                </c:pt>
                <c:pt idx="16">
                  <c:v>0.12549124938174394</c:v>
                </c:pt>
                <c:pt idx="17">
                  <c:v>0.14021748953654245</c:v>
                </c:pt>
                <c:pt idx="18">
                  <c:v>8.0473524822312958E-2</c:v>
                </c:pt>
                <c:pt idx="19">
                  <c:v>0.10188445098947385</c:v>
                </c:pt>
              </c:numCache>
            </c:numRef>
          </c:val>
          <c:smooth val="0"/>
          <c:extLst>
            <c:ext xmlns:c16="http://schemas.microsoft.com/office/drawing/2014/chart" uri="{C3380CC4-5D6E-409C-BE32-E72D297353CC}">
              <c16:uniqueId val="{00000000-0049-4687-8BD2-B00EEFFDC178}"/>
            </c:ext>
          </c:extLst>
        </c:ser>
        <c:dLbls>
          <c:showLegendKey val="0"/>
          <c:showVal val="0"/>
          <c:showCatName val="0"/>
          <c:showSerName val="0"/>
          <c:showPercent val="0"/>
          <c:showBubbleSize val="0"/>
        </c:dLbls>
        <c:smooth val="0"/>
        <c:axId val="139796552"/>
        <c:axId val="139791456"/>
      </c:lineChart>
      <c:catAx>
        <c:axId val="13979655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139791456"/>
        <c:crosses val="autoZero"/>
        <c:auto val="1"/>
        <c:lblAlgn val="ctr"/>
        <c:lblOffset val="100"/>
        <c:noMultiLvlLbl val="0"/>
      </c:catAx>
      <c:valAx>
        <c:axId val="139791456"/>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13979655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lineChart>
        <c:grouping val="standard"/>
        <c:varyColors val="0"/>
        <c:ser>
          <c:idx val="0"/>
          <c:order val="0"/>
          <c:tx>
            <c:strRef>
              <c:f>Charts!$AA$35</c:f>
              <c:strCache>
                <c:ptCount val="1"/>
                <c:pt idx="0">
                  <c:v>Group Service Revenue Growth (Ex-IC) QoQ</c:v>
                </c:pt>
              </c:strCache>
            </c:strRef>
          </c:tx>
          <c:spPr>
            <a:ln w="25400" cap="rnd">
              <a:solidFill>
                <a:srgbClr val="333399"/>
              </a:solidFill>
              <a:prstDash val="solid"/>
              <a:round/>
            </a:ln>
            <a:effectLst/>
          </c:spPr>
          <c:marker>
            <c:symbol val="none"/>
          </c:marker>
          <c:cat>
            <c:strRef>
              <c:f>Charts!$AB$34:$AU$34</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Charts!$AB$35:$AU$35</c:f>
              <c:numCache>
                <c:formatCode>0%</c:formatCode>
                <c:ptCount val="20"/>
                <c:pt idx="0">
                  <c:v>1.3732623435463553E-2</c:v>
                </c:pt>
                <c:pt idx="1">
                  <c:v>5.2748910687749673E-2</c:v>
                </c:pt>
                <c:pt idx="2">
                  <c:v>4.1356808462691186E-2</c:v>
                </c:pt>
                <c:pt idx="3">
                  <c:v>-7.4265370838475508E-3</c:v>
                </c:pt>
                <c:pt idx="4">
                  <c:v>1.921688597983251E-2</c:v>
                </c:pt>
                <c:pt idx="5">
                  <c:v>2.8636831106170213E-2</c:v>
                </c:pt>
                <c:pt idx="6">
                  <c:v>-4.8841107964903152E-3</c:v>
                </c:pt>
                <c:pt idx="7">
                  <c:v>-4.4192582225423438E-2</c:v>
                </c:pt>
                <c:pt idx="8">
                  <c:v>-1.52704499124513E-2</c:v>
                </c:pt>
                <c:pt idx="9">
                  <c:v>8.5014038755604648E-2</c:v>
                </c:pt>
                <c:pt idx="10">
                  <c:v>9.5922127189220774E-3</c:v>
                </c:pt>
                <c:pt idx="11">
                  <c:v>9.4316736405897217E-3</c:v>
                </c:pt>
                <c:pt idx="12">
                  <c:v>1.2866266860616093E-2</c:v>
                </c:pt>
                <c:pt idx="13">
                  <c:v>6.692330786051448E-2</c:v>
                </c:pt>
                <c:pt idx="14">
                  <c:v>2.7576822998567785E-2</c:v>
                </c:pt>
                <c:pt idx="15">
                  <c:v>2.7789125060913022E-2</c:v>
                </c:pt>
                <c:pt idx="16">
                  <c:v>-1.1722454661743376E-3</c:v>
                </c:pt>
                <c:pt idx="17">
                  <c:v>8.0883228798982021E-2</c:v>
                </c:pt>
                <c:pt idx="18">
                  <c:v>-2.6265109806146492E-2</c:v>
                </c:pt>
                <c:pt idx="19">
                  <c:v>4.8156044348184768E-2</c:v>
                </c:pt>
              </c:numCache>
            </c:numRef>
          </c:val>
          <c:smooth val="0"/>
          <c:extLst>
            <c:ext xmlns:c16="http://schemas.microsoft.com/office/drawing/2014/chart" uri="{C3380CC4-5D6E-409C-BE32-E72D297353CC}">
              <c16:uniqueId val="{00000000-9B3E-47C2-9DF6-E6DFA6F53DA1}"/>
            </c:ext>
          </c:extLst>
        </c:ser>
        <c:dLbls>
          <c:showLegendKey val="0"/>
          <c:showVal val="0"/>
          <c:showCatName val="0"/>
          <c:showSerName val="0"/>
          <c:showPercent val="0"/>
          <c:showBubbleSize val="0"/>
        </c:dLbls>
        <c:smooth val="0"/>
        <c:axId val="139792240"/>
        <c:axId val="344758464"/>
      </c:lineChart>
      <c:catAx>
        <c:axId val="1397922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44758464"/>
        <c:crosses val="autoZero"/>
        <c:auto val="1"/>
        <c:lblAlgn val="ctr"/>
        <c:lblOffset val="100"/>
        <c:noMultiLvlLbl val="0"/>
      </c:catAx>
      <c:valAx>
        <c:axId val="344758464"/>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13979224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Charts!$AA$52</c:f>
              <c:strCache>
                <c:ptCount val="1"/>
                <c:pt idx="0">
                  <c:v>Interconnect %</c:v>
                </c:pt>
              </c:strCache>
            </c:strRef>
          </c:tx>
          <c:spPr>
            <a:solidFill>
              <a:srgbClr val="000080"/>
            </a:solidFill>
            <a:ln w="25400">
              <a:noFill/>
            </a:ln>
            <a:effectLst/>
          </c:spPr>
          <c:invertIfNegative val="0"/>
          <c:cat>
            <c:strRef>
              <c:f>Charts!$AB$51:$AU$51</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Charts!$AB$52:$AU$52</c:f>
              <c:numCache>
                <c:formatCode>0%</c:formatCode>
                <c:ptCount val="20"/>
                <c:pt idx="0">
                  <c:v>7.4741621899898511E-2</c:v>
                </c:pt>
                <c:pt idx="1">
                  <c:v>8.2040128116153563E-2</c:v>
                </c:pt>
                <c:pt idx="2">
                  <c:v>7.6581607449487471E-2</c:v>
                </c:pt>
                <c:pt idx="3">
                  <c:v>7.1424895474811803E-2</c:v>
                </c:pt>
                <c:pt idx="4">
                  <c:v>6.6204556427886627E-2</c:v>
                </c:pt>
                <c:pt idx="5">
                  <c:v>5.869361757895851E-2</c:v>
                </c:pt>
                <c:pt idx="6">
                  <c:v>5.829061828651725E-2</c:v>
                </c:pt>
                <c:pt idx="7">
                  <c:v>5.6808780307208741E-2</c:v>
                </c:pt>
                <c:pt idx="8">
                  <c:v>5.4616803921910734E-2</c:v>
                </c:pt>
                <c:pt idx="9">
                  <c:v>5.1907315712766001E-2</c:v>
                </c:pt>
                <c:pt idx="10">
                  <c:v>4.9986712557907327E-2</c:v>
                </c:pt>
                <c:pt idx="11">
                  <c:v>7.255930054356885E-2</c:v>
                </c:pt>
                <c:pt idx="12">
                  <c:v>6.9143565786060318E-2</c:v>
                </c:pt>
                <c:pt idx="13">
                  <c:v>9.2915868704485816E-2</c:v>
                </c:pt>
                <c:pt idx="14">
                  <c:v>0.1157035342924766</c:v>
                </c:pt>
                <c:pt idx="15">
                  <c:v>0.11380220003885198</c:v>
                </c:pt>
                <c:pt idx="16">
                  <c:v>8.5971663598912673E-2</c:v>
                </c:pt>
                <c:pt idx="17">
                  <c:v>0.10802702574099726</c:v>
                </c:pt>
                <c:pt idx="18">
                  <c:v>9.6706061017042863E-2</c:v>
                </c:pt>
                <c:pt idx="19">
                  <c:v>0.10077627661387599</c:v>
                </c:pt>
              </c:numCache>
            </c:numRef>
          </c:val>
          <c:extLst>
            <c:ext xmlns:c16="http://schemas.microsoft.com/office/drawing/2014/chart" uri="{C3380CC4-5D6E-409C-BE32-E72D297353CC}">
              <c16:uniqueId val="{00000000-8566-4204-AB79-483E27422232}"/>
            </c:ext>
          </c:extLst>
        </c:ser>
        <c:ser>
          <c:idx val="1"/>
          <c:order val="1"/>
          <c:tx>
            <c:strRef>
              <c:f>Charts!$AA$53</c:f>
              <c:strCache>
                <c:ptCount val="1"/>
                <c:pt idx="0">
                  <c:v>Salaries and Benefits %</c:v>
                </c:pt>
              </c:strCache>
            </c:strRef>
          </c:tx>
          <c:spPr>
            <a:solidFill>
              <a:srgbClr val="9999FF"/>
            </a:solidFill>
            <a:ln w="25400">
              <a:noFill/>
            </a:ln>
            <a:effectLst/>
          </c:spPr>
          <c:invertIfNegative val="0"/>
          <c:cat>
            <c:strRef>
              <c:f>Charts!$AB$51:$AU$51</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Charts!$AB$53:$AU$53</c:f>
              <c:numCache>
                <c:formatCode>0%</c:formatCode>
                <c:ptCount val="20"/>
                <c:pt idx="0">
                  <c:v>5.0442215676837335E-2</c:v>
                </c:pt>
                <c:pt idx="1">
                  <c:v>5.1354576320770548E-2</c:v>
                </c:pt>
                <c:pt idx="2">
                  <c:v>5.1054404966324976E-2</c:v>
                </c:pt>
                <c:pt idx="3">
                  <c:v>5.0683604867497463E-2</c:v>
                </c:pt>
                <c:pt idx="4">
                  <c:v>4.7251479917890166E-2</c:v>
                </c:pt>
                <c:pt idx="5">
                  <c:v>4.6165464618195665E-2</c:v>
                </c:pt>
                <c:pt idx="6">
                  <c:v>5.1906368597097255E-2</c:v>
                </c:pt>
                <c:pt idx="7">
                  <c:v>5.0690199693244564E-2</c:v>
                </c:pt>
                <c:pt idx="8">
                  <c:v>3.7660369663168283E-2</c:v>
                </c:pt>
                <c:pt idx="9">
                  <c:v>5.0337335412963834E-2</c:v>
                </c:pt>
                <c:pt idx="10">
                  <c:v>3.3702637300882479E-2</c:v>
                </c:pt>
                <c:pt idx="11">
                  <c:v>3.9094562916666242E-2</c:v>
                </c:pt>
                <c:pt idx="12">
                  <c:v>4.384788089217255E-2</c:v>
                </c:pt>
                <c:pt idx="13">
                  <c:v>3.7113679591301539E-2</c:v>
                </c:pt>
                <c:pt idx="14">
                  <c:v>4.3229529558811777E-2</c:v>
                </c:pt>
                <c:pt idx="15">
                  <c:v>5.7330101500093968E-2</c:v>
                </c:pt>
                <c:pt idx="16">
                  <c:v>4.3861771404010215E-2</c:v>
                </c:pt>
                <c:pt idx="17">
                  <c:v>4.4830339471959003E-2</c:v>
                </c:pt>
                <c:pt idx="18">
                  <c:v>4.4409070552567813E-2</c:v>
                </c:pt>
                <c:pt idx="19">
                  <c:v>4.05641876192437E-2</c:v>
                </c:pt>
              </c:numCache>
            </c:numRef>
          </c:val>
          <c:extLst>
            <c:ext xmlns:c16="http://schemas.microsoft.com/office/drawing/2014/chart" uri="{C3380CC4-5D6E-409C-BE32-E72D297353CC}">
              <c16:uniqueId val="{00000001-8566-4204-AB79-483E27422232}"/>
            </c:ext>
          </c:extLst>
        </c:ser>
        <c:ser>
          <c:idx val="2"/>
          <c:order val="2"/>
          <c:tx>
            <c:strRef>
              <c:f>Charts!$AA$54</c:f>
              <c:strCache>
                <c:ptCount val="1"/>
                <c:pt idx="0">
                  <c:v>Sales and Marketing %</c:v>
                </c:pt>
              </c:strCache>
            </c:strRef>
          </c:tx>
          <c:spPr>
            <a:solidFill>
              <a:srgbClr val="3366FF"/>
            </a:solidFill>
            <a:ln w="25400">
              <a:noFill/>
            </a:ln>
            <a:effectLst/>
          </c:spPr>
          <c:invertIfNegative val="0"/>
          <c:cat>
            <c:strRef>
              <c:f>Charts!$AB$51:$AU$51</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Charts!$AB$54:$AU$54</c:f>
              <c:numCache>
                <c:formatCode>0%</c:formatCode>
                <c:ptCount val="20"/>
                <c:pt idx="0">
                  <c:v>7.6585025130613493E-2</c:v>
                </c:pt>
                <c:pt idx="1">
                  <c:v>7.7906323211076059E-2</c:v>
                </c:pt>
                <c:pt idx="2">
                  <c:v>7.6117476495248151E-2</c:v>
                </c:pt>
                <c:pt idx="3">
                  <c:v>8.2809212875818924E-2</c:v>
                </c:pt>
                <c:pt idx="4">
                  <c:v>6.9722867761577351E-2</c:v>
                </c:pt>
                <c:pt idx="5">
                  <c:v>6.6059135226694446E-2</c:v>
                </c:pt>
                <c:pt idx="6">
                  <c:v>7.1454311391664513E-2</c:v>
                </c:pt>
                <c:pt idx="7">
                  <c:v>7.0434589066108569E-2</c:v>
                </c:pt>
                <c:pt idx="8">
                  <c:v>8.4057705627158211E-2</c:v>
                </c:pt>
                <c:pt idx="9">
                  <c:v>9.5145474038611899E-2</c:v>
                </c:pt>
                <c:pt idx="10">
                  <c:v>0.10580935172225471</c:v>
                </c:pt>
                <c:pt idx="11">
                  <c:v>9.7721595367865635E-2</c:v>
                </c:pt>
                <c:pt idx="12">
                  <c:v>0.10807366117680074</c:v>
                </c:pt>
                <c:pt idx="13">
                  <c:v>8.9300167563534566E-2</c:v>
                </c:pt>
                <c:pt idx="14">
                  <c:v>7.8721910485865479E-2</c:v>
                </c:pt>
                <c:pt idx="15">
                  <c:v>8.513880566517823E-2</c:v>
                </c:pt>
                <c:pt idx="16">
                  <c:v>7.4914896988654528E-2</c:v>
                </c:pt>
                <c:pt idx="17">
                  <c:v>7.4630503834455589E-2</c:v>
                </c:pt>
                <c:pt idx="18">
                  <c:v>7.7240973003884716E-2</c:v>
                </c:pt>
                <c:pt idx="19">
                  <c:v>7.6903697961654457E-2</c:v>
                </c:pt>
              </c:numCache>
            </c:numRef>
          </c:val>
          <c:extLst>
            <c:ext xmlns:c16="http://schemas.microsoft.com/office/drawing/2014/chart" uri="{C3380CC4-5D6E-409C-BE32-E72D297353CC}">
              <c16:uniqueId val="{00000002-8566-4204-AB79-483E27422232}"/>
            </c:ext>
          </c:extLst>
        </c:ser>
        <c:ser>
          <c:idx val="3"/>
          <c:order val="3"/>
          <c:tx>
            <c:strRef>
              <c:f>Charts!$AA$55</c:f>
              <c:strCache>
                <c:ptCount val="1"/>
                <c:pt idx="0">
                  <c:v>Infrastructure Exp %</c:v>
                </c:pt>
              </c:strCache>
            </c:strRef>
          </c:tx>
          <c:spPr>
            <a:solidFill>
              <a:srgbClr val="CCCCFF"/>
            </a:solidFill>
            <a:ln w="25400">
              <a:noFill/>
            </a:ln>
            <a:effectLst/>
          </c:spPr>
          <c:invertIfNegative val="0"/>
          <c:cat>
            <c:strRef>
              <c:f>Charts!$AB$51:$AU$51</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Charts!$AB$55:$AU$55</c:f>
              <c:numCache>
                <c:formatCode>0%</c:formatCode>
                <c:ptCount val="20"/>
                <c:pt idx="0">
                  <c:v>0.38812017112144609</c:v>
                </c:pt>
                <c:pt idx="1">
                  <c:v>0.37410934390951422</c:v>
                </c:pt>
                <c:pt idx="2">
                  <c:v>0.37532723166152848</c:v>
                </c:pt>
                <c:pt idx="3">
                  <c:v>0.37053613896976606</c:v>
                </c:pt>
                <c:pt idx="4">
                  <c:v>0.31272276109944191</c:v>
                </c:pt>
                <c:pt idx="5">
                  <c:v>0.31482325992265159</c:v>
                </c:pt>
                <c:pt idx="6">
                  <c:v>0.28950800206449939</c:v>
                </c:pt>
                <c:pt idx="7">
                  <c:v>0.30938286249650554</c:v>
                </c:pt>
                <c:pt idx="8">
                  <c:v>0.31597827755486591</c:v>
                </c:pt>
                <c:pt idx="9">
                  <c:v>0.29030988714456546</c:v>
                </c:pt>
                <c:pt idx="10">
                  <c:v>0.29643697313534118</c:v>
                </c:pt>
                <c:pt idx="11">
                  <c:v>0.29324229704464733</c:v>
                </c:pt>
                <c:pt idx="12">
                  <c:v>0.29545306559909962</c:v>
                </c:pt>
                <c:pt idx="13">
                  <c:v>0.28246149700364437</c:v>
                </c:pt>
                <c:pt idx="14">
                  <c:v>0.26741935483870949</c:v>
                </c:pt>
                <c:pt idx="15">
                  <c:v>0.21991563346325518</c:v>
                </c:pt>
                <c:pt idx="16">
                  <c:v>0.30950943672220776</c:v>
                </c:pt>
                <c:pt idx="17">
                  <c:v>0.26051784287183849</c:v>
                </c:pt>
                <c:pt idx="18">
                  <c:v>0.26915802088463719</c:v>
                </c:pt>
                <c:pt idx="19">
                  <c:v>0.27651452474539168</c:v>
                </c:pt>
              </c:numCache>
            </c:numRef>
          </c:val>
          <c:extLst>
            <c:ext xmlns:c16="http://schemas.microsoft.com/office/drawing/2014/chart" uri="{C3380CC4-5D6E-409C-BE32-E72D297353CC}">
              <c16:uniqueId val="{00000003-8566-4204-AB79-483E27422232}"/>
            </c:ext>
          </c:extLst>
        </c:ser>
        <c:ser>
          <c:idx val="4"/>
          <c:order val="4"/>
          <c:tx>
            <c:strRef>
              <c:f>Charts!$AA$56</c:f>
              <c:strCache>
                <c:ptCount val="1"/>
                <c:pt idx="0">
                  <c:v>Overheads %</c:v>
                </c:pt>
              </c:strCache>
            </c:strRef>
          </c:tx>
          <c:spPr>
            <a:solidFill>
              <a:srgbClr val="969696"/>
            </a:solidFill>
            <a:ln w="25400">
              <a:noFill/>
            </a:ln>
            <a:effectLst/>
          </c:spPr>
          <c:invertIfNegative val="0"/>
          <c:cat>
            <c:strRef>
              <c:f>Charts!$AB$51:$AU$51</c:f>
              <c:strCache>
                <c:ptCount val="20"/>
                <c:pt idx="0">
                  <c:v>1Q19</c:v>
                </c:pt>
                <c:pt idx="1">
                  <c:v>2Q19</c:v>
                </c:pt>
                <c:pt idx="2">
                  <c:v>3Q19</c:v>
                </c:pt>
                <c:pt idx="3">
                  <c:v>4Q19</c:v>
                </c:pt>
                <c:pt idx="4">
                  <c:v>1Q20</c:v>
                </c:pt>
                <c:pt idx="5">
                  <c:v>2Q20</c:v>
                </c:pt>
                <c:pt idx="6">
                  <c:v>3Q20</c:v>
                </c:pt>
                <c:pt idx="7">
                  <c:v>4Q20</c:v>
                </c:pt>
                <c:pt idx="8">
                  <c:v>1Q21</c:v>
                </c:pt>
                <c:pt idx="9">
                  <c:v>2Q21</c:v>
                </c:pt>
                <c:pt idx="10">
                  <c:v>3Q21</c:v>
                </c:pt>
                <c:pt idx="11">
                  <c:v>4Q21</c:v>
                </c:pt>
                <c:pt idx="12">
                  <c:v>1Q22</c:v>
                </c:pt>
                <c:pt idx="13">
                  <c:v>2Q22</c:v>
                </c:pt>
                <c:pt idx="14">
                  <c:v>3Q22</c:v>
                </c:pt>
                <c:pt idx="15">
                  <c:v>4Q22</c:v>
                </c:pt>
                <c:pt idx="16">
                  <c:v>1Q23</c:v>
                </c:pt>
                <c:pt idx="17">
                  <c:v>2Q23</c:v>
                </c:pt>
                <c:pt idx="18">
                  <c:v>3Q23</c:v>
                </c:pt>
                <c:pt idx="19">
                  <c:v>4Q23</c:v>
                </c:pt>
              </c:strCache>
            </c:strRef>
          </c:cat>
          <c:val>
            <c:numRef>
              <c:f>Charts!$AB$56:$AU$56</c:f>
              <c:numCache>
                <c:formatCode>0%</c:formatCode>
                <c:ptCount val="20"/>
                <c:pt idx="0">
                  <c:v>2.8321376908257506E-2</c:v>
                </c:pt>
                <c:pt idx="1">
                  <c:v>2.1622979503482336E-2</c:v>
                </c:pt>
                <c:pt idx="2">
                  <c:v>1.7327555624934536E-2</c:v>
                </c:pt>
                <c:pt idx="3">
                  <c:v>1.7778249091983726E-2</c:v>
                </c:pt>
                <c:pt idx="4">
                  <c:v>1.4040923475535661E-2</c:v>
                </c:pt>
                <c:pt idx="5">
                  <c:v>1.220879121046E-2</c:v>
                </c:pt>
                <c:pt idx="6">
                  <c:v>1.0906920925203581E-2</c:v>
                </c:pt>
                <c:pt idx="7">
                  <c:v>1.4464947274838252E-2</c:v>
                </c:pt>
                <c:pt idx="8">
                  <c:v>8.4699736512829481E-3</c:v>
                </c:pt>
                <c:pt idx="9">
                  <c:v>1.1497976165912176E-2</c:v>
                </c:pt>
                <c:pt idx="10">
                  <c:v>1.3341060657246403E-2</c:v>
                </c:pt>
                <c:pt idx="11">
                  <c:v>1.1141442799298292E-2</c:v>
                </c:pt>
                <c:pt idx="12">
                  <c:v>1.2720001412031546E-2</c:v>
                </c:pt>
                <c:pt idx="13">
                  <c:v>1.2654613056700081E-2</c:v>
                </c:pt>
                <c:pt idx="14">
                  <c:v>1.0556471558120355E-2</c:v>
                </c:pt>
                <c:pt idx="15">
                  <c:v>1.25559954596736E-2</c:v>
                </c:pt>
                <c:pt idx="16">
                  <c:v>1.098508557470171E-2</c:v>
                </c:pt>
                <c:pt idx="17">
                  <c:v>1.6837602770675128E-2</c:v>
                </c:pt>
                <c:pt idx="18">
                  <c:v>6.1784880363833046E-3</c:v>
                </c:pt>
                <c:pt idx="19">
                  <c:v>1.6760563496891191E-2</c:v>
                </c:pt>
              </c:numCache>
            </c:numRef>
          </c:val>
          <c:extLst>
            <c:ext xmlns:c16="http://schemas.microsoft.com/office/drawing/2014/chart" uri="{C3380CC4-5D6E-409C-BE32-E72D297353CC}">
              <c16:uniqueId val="{00000004-8566-4204-AB79-483E27422232}"/>
            </c:ext>
          </c:extLst>
        </c:ser>
        <c:dLbls>
          <c:showLegendKey val="0"/>
          <c:showVal val="0"/>
          <c:showCatName val="0"/>
          <c:showSerName val="0"/>
          <c:showPercent val="0"/>
          <c:showBubbleSize val="0"/>
        </c:dLbls>
        <c:gapWidth val="150"/>
        <c:overlap val="100"/>
        <c:axId val="690789280"/>
        <c:axId val="690786536"/>
      </c:barChart>
      <c:catAx>
        <c:axId val="690789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6536"/>
        <c:crosses val="autoZero"/>
        <c:auto val="1"/>
        <c:lblAlgn val="ctr"/>
        <c:lblOffset val="100"/>
        <c:noMultiLvlLbl val="0"/>
      </c:catAx>
      <c:valAx>
        <c:axId val="690786536"/>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90789280"/>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8" Type="http://schemas.openxmlformats.org/officeDocument/2006/relationships/chart" Target="../charts/chart13.xml"/><Relationship Id="rId13" Type="http://schemas.openxmlformats.org/officeDocument/2006/relationships/chart" Target="../charts/chart18.xml"/><Relationship Id="rId18" Type="http://schemas.openxmlformats.org/officeDocument/2006/relationships/chart" Target="../charts/chart23.xml"/><Relationship Id="rId3" Type="http://schemas.openxmlformats.org/officeDocument/2006/relationships/chart" Target="../charts/chart8.xml"/><Relationship Id="rId21" Type="http://schemas.openxmlformats.org/officeDocument/2006/relationships/chart" Target="../charts/chart26.xml"/><Relationship Id="rId7" Type="http://schemas.openxmlformats.org/officeDocument/2006/relationships/chart" Target="../charts/chart12.xml"/><Relationship Id="rId12" Type="http://schemas.openxmlformats.org/officeDocument/2006/relationships/chart" Target="../charts/chart17.xml"/><Relationship Id="rId17" Type="http://schemas.openxmlformats.org/officeDocument/2006/relationships/chart" Target="../charts/chart22.xml"/><Relationship Id="rId2" Type="http://schemas.openxmlformats.org/officeDocument/2006/relationships/chart" Target="../charts/chart7.xml"/><Relationship Id="rId16" Type="http://schemas.openxmlformats.org/officeDocument/2006/relationships/chart" Target="../charts/chart21.xml"/><Relationship Id="rId20" Type="http://schemas.openxmlformats.org/officeDocument/2006/relationships/chart" Target="../charts/chart25.xml"/><Relationship Id="rId1" Type="http://schemas.openxmlformats.org/officeDocument/2006/relationships/chart" Target="../charts/chart6.xml"/><Relationship Id="rId6" Type="http://schemas.openxmlformats.org/officeDocument/2006/relationships/chart" Target="../charts/chart11.xml"/><Relationship Id="rId11" Type="http://schemas.openxmlformats.org/officeDocument/2006/relationships/chart" Target="../charts/chart16.xml"/><Relationship Id="rId5" Type="http://schemas.openxmlformats.org/officeDocument/2006/relationships/chart" Target="../charts/chart10.xml"/><Relationship Id="rId15" Type="http://schemas.openxmlformats.org/officeDocument/2006/relationships/chart" Target="../charts/chart20.xml"/><Relationship Id="rId10" Type="http://schemas.openxmlformats.org/officeDocument/2006/relationships/chart" Target="../charts/chart15.xml"/><Relationship Id="rId19" Type="http://schemas.openxmlformats.org/officeDocument/2006/relationships/chart" Target="../charts/chart24.xml"/><Relationship Id="rId4" Type="http://schemas.openxmlformats.org/officeDocument/2006/relationships/chart" Target="../charts/chart9.xml"/><Relationship Id="rId9" Type="http://schemas.openxmlformats.org/officeDocument/2006/relationships/chart" Target="../charts/chart14.xml"/><Relationship Id="rId14" Type="http://schemas.openxmlformats.org/officeDocument/2006/relationships/chart" Target="../charts/chart19.xml"/><Relationship Id="rId22" Type="http://schemas.openxmlformats.org/officeDocument/2006/relationships/chart" Target="../charts/chart27.xml"/></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7</xdr:col>
      <xdr:colOff>2110</xdr:colOff>
      <xdr:row>5</xdr:row>
      <xdr:rowOff>193634</xdr:rowOff>
    </xdr:from>
    <xdr:to>
      <xdr:col>18</xdr:col>
      <xdr:colOff>103908</xdr:colOff>
      <xdr:row>25</xdr:row>
      <xdr:rowOff>28698</xdr:rowOff>
    </xdr:to>
    <xdr:graphicFrame macro="">
      <xdr:nvGraphicFramePr>
        <xdr:cNvPr id="4" name="Chart 3">
          <a:extLst>
            <a:ext uri="{FF2B5EF4-FFF2-40B4-BE49-F238E27FC236}">
              <a16:creationId xmlns:a16="http://schemas.microsoft.com/office/drawing/2014/main" id="{2AA5B300-F514-4477-B944-0DD5BA4DD8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541033</xdr:colOff>
      <xdr:row>4</xdr:row>
      <xdr:rowOff>114300</xdr:rowOff>
    </xdr:from>
    <xdr:to>
      <xdr:col>6</xdr:col>
      <xdr:colOff>399103</xdr:colOff>
      <xdr:row>12</xdr:row>
      <xdr:rowOff>38100</xdr:rowOff>
    </xdr:to>
    <xdr:pic>
      <xdr:nvPicPr>
        <xdr:cNvPr id="2" name="Picture 1">
          <a:extLst>
            <a:ext uri="{FF2B5EF4-FFF2-40B4-BE49-F238E27FC236}">
              <a16:creationId xmlns:a16="http://schemas.microsoft.com/office/drawing/2014/main" id="{7B8EACD1-7B3B-40FC-97EE-DCF7D46C0D4F}"/>
            </a:ext>
          </a:extLst>
        </xdr:cNvPr>
        <xdr:cNvPicPr>
          <a:picLocks noChangeAspect="1"/>
        </xdr:cNvPicPr>
      </xdr:nvPicPr>
      <xdr:blipFill>
        <a:blip xmlns:r="http://schemas.openxmlformats.org/officeDocument/2006/relationships" r:embed="rId1"/>
        <a:stretch>
          <a:fillRect/>
        </a:stretch>
      </xdr:blipFill>
      <xdr:spPr>
        <a:xfrm>
          <a:off x="541033" y="845820"/>
          <a:ext cx="3515670" cy="13868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78239</xdr:colOff>
      <xdr:row>72</xdr:row>
      <xdr:rowOff>68045</xdr:rowOff>
    </xdr:from>
    <xdr:to>
      <xdr:col>13</xdr:col>
      <xdr:colOff>231322</xdr:colOff>
      <xdr:row>91</xdr:row>
      <xdr:rowOff>152854</xdr:rowOff>
    </xdr:to>
    <xdr:graphicFrame macro="">
      <xdr:nvGraphicFramePr>
        <xdr:cNvPr id="2" name="Chart 1">
          <a:extLst>
            <a:ext uri="{FF2B5EF4-FFF2-40B4-BE49-F238E27FC236}">
              <a16:creationId xmlns:a16="http://schemas.microsoft.com/office/drawing/2014/main" id="{2F8EDF66-0EA0-4E87-A2A7-573117A24D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779235</xdr:colOff>
      <xdr:row>73</xdr:row>
      <xdr:rowOff>34018</xdr:rowOff>
    </xdr:from>
    <xdr:to>
      <xdr:col>10</xdr:col>
      <xdr:colOff>118844</xdr:colOff>
      <xdr:row>90</xdr:row>
      <xdr:rowOff>79384</xdr:rowOff>
    </xdr:to>
    <xdr:graphicFrame macro="">
      <xdr:nvGraphicFramePr>
        <xdr:cNvPr id="3" name="Chart 2">
          <a:extLst>
            <a:ext uri="{FF2B5EF4-FFF2-40B4-BE49-F238E27FC236}">
              <a16:creationId xmlns:a16="http://schemas.microsoft.com/office/drawing/2014/main" id="{396B6E90-5B11-4D3F-B034-0FEED2E058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0.33073</cdr:x>
      <cdr:y>0.36531</cdr:y>
    </cdr:from>
    <cdr:to>
      <cdr:x>0.39583</cdr:x>
      <cdr:y>0.44159</cdr:y>
    </cdr:to>
    <cdr:sp macro="" textlink="">
      <cdr:nvSpPr>
        <cdr:cNvPr id="2" name="Oval 1">
          <a:extLst xmlns:a="http://schemas.openxmlformats.org/drawingml/2006/main">
            <a:ext uri="{FF2B5EF4-FFF2-40B4-BE49-F238E27FC236}">
              <a16:creationId xmlns:a16="http://schemas.microsoft.com/office/drawing/2014/main" id="{BBA61C79-2C40-4C6C-8C40-437057599029}"/>
            </a:ext>
          </a:extLst>
        </cdr:cNvPr>
        <cdr:cNvSpPr/>
      </cdr:nvSpPr>
      <cdr:spPr>
        <a:xfrm xmlns:a="http://schemas.openxmlformats.org/drawingml/2006/main">
          <a:off x="1728107" y="1238250"/>
          <a:ext cx="340179" cy="258536"/>
        </a:xfrm>
        <a:prstGeom xmlns:a="http://schemas.openxmlformats.org/drawingml/2006/main" prst="ellipse">
          <a:avLst/>
        </a:prstGeom>
        <a:noFill xmlns:a="http://schemas.openxmlformats.org/drawingml/2006/main"/>
        <a:ln xmlns:a="http://schemas.openxmlformats.org/drawingml/2006/main" w="28575">
          <a:solidFill>
            <a:srgbClr val="FF00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0.22396</cdr:x>
      <cdr:y>0.18266</cdr:y>
    </cdr:from>
    <cdr:to>
      <cdr:x>0.39896</cdr:x>
      <cdr:y>0.45243</cdr:y>
    </cdr:to>
    <cdr:sp macro="" textlink="">
      <cdr:nvSpPr>
        <cdr:cNvPr id="3" name="TextBox 2">
          <a:extLst xmlns:a="http://schemas.openxmlformats.org/drawingml/2006/main">
            <a:ext uri="{FF2B5EF4-FFF2-40B4-BE49-F238E27FC236}">
              <a16:creationId xmlns:a16="http://schemas.microsoft.com/office/drawing/2014/main" id="{29757997-364B-4AC7-B506-5CEA5BB56CB2}"/>
            </a:ext>
          </a:extLst>
        </cdr:cNvPr>
        <cdr:cNvSpPr txBox="1"/>
      </cdr:nvSpPr>
      <cdr:spPr>
        <a:xfrm xmlns:a="http://schemas.openxmlformats.org/drawingml/2006/main">
          <a:off x="1170214" y="61912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GB" sz="1100"/>
            <a:t>Axis deal closed Q1 2014 - </a:t>
          </a:r>
        </a:p>
        <a:p xmlns:a="http://schemas.openxmlformats.org/drawingml/2006/main">
          <a:r>
            <a:rPr lang="en-GB" sz="1100"/>
            <a:t>no noticeable impact on </a:t>
          </a:r>
        </a:p>
        <a:p xmlns:a="http://schemas.openxmlformats.org/drawingml/2006/main">
          <a:r>
            <a:rPr lang="en-GB" sz="1100"/>
            <a:t>cell sites</a:t>
          </a:r>
        </a:p>
      </cdr:txBody>
    </cdr:sp>
  </cdr:relSizeAnchor>
</c:userShapes>
</file>

<file path=xl/drawings/drawing5.xml><?xml version="1.0" encoding="utf-8"?>
<xdr:wsDr xmlns:xdr="http://schemas.openxmlformats.org/drawingml/2006/spreadsheetDrawing" xmlns:a="http://schemas.openxmlformats.org/drawingml/2006/main">
  <xdr:twoCellAnchor>
    <xdr:from>
      <xdr:col>6</xdr:col>
      <xdr:colOff>78239</xdr:colOff>
      <xdr:row>74</xdr:row>
      <xdr:rowOff>68045</xdr:rowOff>
    </xdr:from>
    <xdr:to>
      <xdr:col>13</xdr:col>
      <xdr:colOff>231322</xdr:colOff>
      <xdr:row>93</xdr:row>
      <xdr:rowOff>152854</xdr:rowOff>
    </xdr:to>
    <xdr:graphicFrame macro="">
      <xdr:nvGraphicFramePr>
        <xdr:cNvPr id="2" name="Chart 1">
          <a:extLst>
            <a:ext uri="{FF2B5EF4-FFF2-40B4-BE49-F238E27FC236}">
              <a16:creationId xmlns:a16="http://schemas.microsoft.com/office/drawing/2014/main" id="{B8072403-23C3-4FB5-92BD-B4CA835E45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779235</xdr:colOff>
      <xdr:row>75</xdr:row>
      <xdr:rowOff>34018</xdr:rowOff>
    </xdr:from>
    <xdr:to>
      <xdr:col>10</xdr:col>
      <xdr:colOff>118844</xdr:colOff>
      <xdr:row>92</xdr:row>
      <xdr:rowOff>79384</xdr:rowOff>
    </xdr:to>
    <xdr:graphicFrame macro="">
      <xdr:nvGraphicFramePr>
        <xdr:cNvPr id="3" name="Chart 2">
          <a:extLst>
            <a:ext uri="{FF2B5EF4-FFF2-40B4-BE49-F238E27FC236}">
              <a16:creationId xmlns:a16="http://schemas.microsoft.com/office/drawing/2014/main" id="{B6C301B2-BCCB-4183-8D0F-27CBD0FBB7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0.33073</cdr:x>
      <cdr:y>0.36531</cdr:y>
    </cdr:from>
    <cdr:to>
      <cdr:x>0.39583</cdr:x>
      <cdr:y>0.44159</cdr:y>
    </cdr:to>
    <cdr:sp macro="" textlink="">
      <cdr:nvSpPr>
        <cdr:cNvPr id="2" name="Oval 1">
          <a:extLst xmlns:a="http://schemas.openxmlformats.org/drawingml/2006/main">
            <a:ext uri="{FF2B5EF4-FFF2-40B4-BE49-F238E27FC236}">
              <a16:creationId xmlns:a16="http://schemas.microsoft.com/office/drawing/2014/main" id="{BBA61C79-2C40-4C6C-8C40-437057599029}"/>
            </a:ext>
          </a:extLst>
        </cdr:cNvPr>
        <cdr:cNvSpPr/>
      </cdr:nvSpPr>
      <cdr:spPr>
        <a:xfrm xmlns:a="http://schemas.openxmlformats.org/drawingml/2006/main">
          <a:off x="1728107" y="1238250"/>
          <a:ext cx="340179" cy="258536"/>
        </a:xfrm>
        <a:prstGeom xmlns:a="http://schemas.openxmlformats.org/drawingml/2006/main" prst="ellipse">
          <a:avLst/>
        </a:prstGeom>
        <a:noFill xmlns:a="http://schemas.openxmlformats.org/drawingml/2006/main"/>
        <a:ln xmlns:a="http://schemas.openxmlformats.org/drawingml/2006/main" w="28575">
          <a:solidFill>
            <a:srgbClr val="FF00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0.22396</cdr:x>
      <cdr:y>0.18266</cdr:y>
    </cdr:from>
    <cdr:to>
      <cdr:x>0.39896</cdr:x>
      <cdr:y>0.45243</cdr:y>
    </cdr:to>
    <cdr:sp macro="" textlink="">
      <cdr:nvSpPr>
        <cdr:cNvPr id="3" name="TextBox 2">
          <a:extLst xmlns:a="http://schemas.openxmlformats.org/drawingml/2006/main">
            <a:ext uri="{FF2B5EF4-FFF2-40B4-BE49-F238E27FC236}">
              <a16:creationId xmlns:a16="http://schemas.microsoft.com/office/drawing/2014/main" id="{29757997-364B-4AC7-B506-5CEA5BB56CB2}"/>
            </a:ext>
          </a:extLst>
        </cdr:cNvPr>
        <cdr:cNvSpPr txBox="1"/>
      </cdr:nvSpPr>
      <cdr:spPr>
        <a:xfrm xmlns:a="http://schemas.openxmlformats.org/drawingml/2006/main">
          <a:off x="1170214" y="61912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GB" sz="1100"/>
            <a:t>Axis deal closed Q1 2014 - </a:t>
          </a:r>
        </a:p>
        <a:p xmlns:a="http://schemas.openxmlformats.org/drawingml/2006/main">
          <a:r>
            <a:rPr lang="en-GB" sz="1100"/>
            <a:t>no noticeable impact on </a:t>
          </a:r>
        </a:p>
        <a:p xmlns:a="http://schemas.openxmlformats.org/drawingml/2006/main">
          <a:r>
            <a:rPr lang="en-GB" sz="1100"/>
            <a:t>cell sites</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295274</xdr:colOff>
      <xdr:row>10</xdr:row>
      <xdr:rowOff>142874</xdr:rowOff>
    </xdr:from>
    <xdr:to>
      <xdr:col>8</xdr:col>
      <xdr:colOff>514350</xdr:colOff>
      <xdr:row>25</xdr:row>
      <xdr:rowOff>0</xdr:rowOff>
    </xdr:to>
    <xdr:graphicFrame macro="">
      <xdr:nvGraphicFramePr>
        <xdr:cNvPr id="2" name="Chart 1">
          <a:extLst>
            <a:ext uri="{FF2B5EF4-FFF2-40B4-BE49-F238E27FC236}">
              <a16:creationId xmlns:a16="http://schemas.microsoft.com/office/drawing/2014/main" id="{45387B44-3B98-4D50-BE4A-00D3E8A34A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47624</xdr:colOff>
      <xdr:row>11</xdr:row>
      <xdr:rowOff>104774</xdr:rowOff>
    </xdr:from>
    <xdr:to>
      <xdr:col>18</xdr:col>
      <xdr:colOff>285750</xdr:colOff>
      <xdr:row>25</xdr:row>
      <xdr:rowOff>0</xdr:rowOff>
    </xdr:to>
    <xdr:graphicFrame macro="">
      <xdr:nvGraphicFramePr>
        <xdr:cNvPr id="3" name="Chart 2">
          <a:extLst>
            <a:ext uri="{FF2B5EF4-FFF2-40B4-BE49-F238E27FC236}">
              <a16:creationId xmlns:a16="http://schemas.microsoft.com/office/drawing/2014/main" id="{B022D4F1-5013-4F2E-99C9-CB95107A80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352424</xdr:colOff>
      <xdr:row>30</xdr:row>
      <xdr:rowOff>47624</xdr:rowOff>
    </xdr:from>
    <xdr:to>
      <xdr:col>9</xdr:col>
      <xdr:colOff>304800</xdr:colOff>
      <xdr:row>45</xdr:row>
      <xdr:rowOff>76200</xdr:rowOff>
    </xdr:to>
    <xdr:graphicFrame macro="">
      <xdr:nvGraphicFramePr>
        <xdr:cNvPr id="4" name="Chart 3">
          <a:extLst>
            <a:ext uri="{FF2B5EF4-FFF2-40B4-BE49-F238E27FC236}">
              <a16:creationId xmlns:a16="http://schemas.microsoft.com/office/drawing/2014/main" id="{6D2ABE99-043F-4F2E-A0A0-72C0B1C03F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333374</xdr:colOff>
      <xdr:row>49</xdr:row>
      <xdr:rowOff>28574</xdr:rowOff>
    </xdr:from>
    <xdr:to>
      <xdr:col>9</xdr:col>
      <xdr:colOff>57150</xdr:colOff>
      <xdr:row>64</xdr:row>
      <xdr:rowOff>38100</xdr:rowOff>
    </xdr:to>
    <xdr:graphicFrame macro="">
      <xdr:nvGraphicFramePr>
        <xdr:cNvPr id="5" name="Chart 4">
          <a:extLst>
            <a:ext uri="{FF2B5EF4-FFF2-40B4-BE49-F238E27FC236}">
              <a16:creationId xmlns:a16="http://schemas.microsoft.com/office/drawing/2014/main" id="{9B3B941F-6BDC-457E-8DF3-A0F117ABBD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276224</xdr:colOff>
      <xdr:row>48</xdr:row>
      <xdr:rowOff>200024</xdr:rowOff>
    </xdr:from>
    <xdr:to>
      <xdr:col>19</xdr:col>
      <xdr:colOff>266700</xdr:colOff>
      <xdr:row>64</xdr:row>
      <xdr:rowOff>76200</xdr:rowOff>
    </xdr:to>
    <xdr:graphicFrame macro="">
      <xdr:nvGraphicFramePr>
        <xdr:cNvPr id="6" name="Chart 5">
          <a:extLst>
            <a:ext uri="{FF2B5EF4-FFF2-40B4-BE49-F238E27FC236}">
              <a16:creationId xmlns:a16="http://schemas.microsoft.com/office/drawing/2014/main" id="{B1931991-5494-41CA-9AD8-E4634F56F2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333374</xdr:colOff>
      <xdr:row>67</xdr:row>
      <xdr:rowOff>142874</xdr:rowOff>
    </xdr:from>
    <xdr:to>
      <xdr:col>9</xdr:col>
      <xdr:colOff>19050</xdr:colOff>
      <xdr:row>81</xdr:row>
      <xdr:rowOff>171450</xdr:rowOff>
    </xdr:to>
    <xdr:graphicFrame macro="">
      <xdr:nvGraphicFramePr>
        <xdr:cNvPr id="7" name="Chart 6">
          <a:extLst>
            <a:ext uri="{FF2B5EF4-FFF2-40B4-BE49-F238E27FC236}">
              <a16:creationId xmlns:a16="http://schemas.microsoft.com/office/drawing/2014/main" id="{C163011A-FA09-484B-821E-315069A159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314324</xdr:colOff>
      <xdr:row>67</xdr:row>
      <xdr:rowOff>161924</xdr:rowOff>
    </xdr:from>
    <xdr:to>
      <xdr:col>19</xdr:col>
      <xdr:colOff>152400</xdr:colOff>
      <xdr:row>81</xdr:row>
      <xdr:rowOff>57150</xdr:rowOff>
    </xdr:to>
    <xdr:graphicFrame macro="">
      <xdr:nvGraphicFramePr>
        <xdr:cNvPr id="8" name="Chart 7">
          <a:extLst>
            <a:ext uri="{FF2B5EF4-FFF2-40B4-BE49-F238E27FC236}">
              <a16:creationId xmlns:a16="http://schemas.microsoft.com/office/drawing/2014/main" id="{074DE16D-0155-4B1F-932E-7189290751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390524</xdr:colOff>
      <xdr:row>85</xdr:row>
      <xdr:rowOff>47624</xdr:rowOff>
    </xdr:from>
    <xdr:to>
      <xdr:col>9</xdr:col>
      <xdr:colOff>247650</xdr:colOff>
      <xdr:row>101</xdr:row>
      <xdr:rowOff>38100</xdr:rowOff>
    </xdr:to>
    <xdr:graphicFrame macro="">
      <xdr:nvGraphicFramePr>
        <xdr:cNvPr id="9" name="Chart 8">
          <a:extLst>
            <a:ext uri="{FF2B5EF4-FFF2-40B4-BE49-F238E27FC236}">
              <a16:creationId xmlns:a16="http://schemas.microsoft.com/office/drawing/2014/main" id="{2D83ED31-27EA-42F2-BBD2-54A9309623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390524</xdr:colOff>
      <xdr:row>105</xdr:row>
      <xdr:rowOff>28574</xdr:rowOff>
    </xdr:from>
    <xdr:to>
      <xdr:col>9</xdr:col>
      <xdr:colOff>133350</xdr:colOff>
      <xdr:row>120</xdr:row>
      <xdr:rowOff>0</xdr:rowOff>
    </xdr:to>
    <xdr:graphicFrame macro="">
      <xdr:nvGraphicFramePr>
        <xdr:cNvPr id="10" name="Chart 9">
          <a:extLst>
            <a:ext uri="{FF2B5EF4-FFF2-40B4-BE49-F238E27FC236}">
              <a16:creationId xmlns:a16="http://schemas.microsoft.com/office/drawing/2014/main" id="{EF6F7D76-703D-42B0-95E2-F544EA7F48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447674</xdr:colOff>
      <xdr:row>105</xdr:row>
      <xdr:rowOff>28574</xdr:rowOff>
    </xdr:from>
    <xdr:to>
      <xdr:col>19</xdr:col>
      <xdr:colOff>152400</xdr:colOff>
      <xdr:row>119</xdr:row>
      <xdr:rowOff>76200</xdr:rowOff>
    </xdr:to>
    <xdr:graphicFrame macro="">
      <xdr:nvGraphicFramePr>
        <xdr:cNvPr id="11" name="Chart 10">
          <a:extLst>
            <a:ext uri="{FF2B5EF4-FFF2-40B4-BE49-F238E27FC236}">
              <a16:creationId xmlns:a16="http://schemas.microsoft.com/office/drawing/2014/main" id="{55C9F9D0-8479-4F4C-BA64-05BC5DF0B19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447674</xdr:colOff>
      <xdr:row>123</xdr:row>
      <xdr:rowOff>142874</xdr:rowOff>
    </xdr:from>
    <xdr:to>
      <xdr:col>9</xdr:col>
      <xdr:colOff>0</xdr:colOff>
      <xdr:row>137</xdr:row>
      <xdr:rowOff>95250</xdr:rowOff>
    </xdr:to>
    <xdr:graphicFrame macro="">
      <xdr:nvGraphicFramePr>
        <xdr:cNvPr id="13" name="Chart 12">
          <a:extLst>
            <a:ext uri="{FF2B5EF4-FFF2-40B4-BE49-F238E27FC236}">
              <a16:creationId xmlns:a16="http://schemas.microsoft.com/office/drawing/2014/main" id="{4FC10A56-48D8-4D92-A3EF-14F8448098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428624</xdr:colOff>
      <xdr:row>124</xdr:row>
      <xdr:rowOff>28574</xdr:rowOff>
    </xdr:from>
    <xdr:to>
      <xdr:col>19</xdr:col>
      <xdr:colOff>114300</xdr:colOff>
      <xdr:row>137</xdr:row>
      <xdr:rowOff>76200</xdr:rowOff>
    </xdr:to>
    <xdr:graphicFrame macro="">
      <xdr:nvGraphicFramePr>
        <xdr:cNvPr id="14" name="Chart 13">
          <a:extLst>
            <a:ext uri="{FF2B5EF4-FFF2-40B4-BE49-F238E27FC236}">
              <a16:creationId xmlns:a16="http://schemas.microsoft.com/office/drawing/2014/main" id="{F81153D7-74E5-4ED2-ABD1-A7E94B8E2D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466724</xdr:colOff>
      <xdr:row>145</xdr:row>
      <xdr:rowOff>28574</xdr:rowOff>
    </xdr:from>
    <xdr:to>
      <xdr:col>8</xdr:col>
      <xdr:colOff>476250</xdr:colOff>
      <xdr:row>158</xdr:row>
      <xdr:rowOff>95250</xdr:rowOff>
    </xdr:to>
    <xdr:graphicFrame macro="">
      <xdr:nvGraphicFramePr>
        <xdr:cNvPr id="15" name="Chart 14">
          <a:extLst>
            <a:ext uri="{FF2B5EF4-FFF2-40B4-BE49-F238E27FC236}">
              <a16:creationId xmlns:a16="http://schemas.microsoft.com/office/drawing/2014/main" id="{14D8E36C-9711-41EA-813C-690A7ED58C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447674</xdr:colOff>
      <xdr:row>145</xdr:row>
      <xdr:rowOff>28574</xdr:rowOff>
    </xdr:from>
    <xdr:to>
      <xdr:col>18</xdr:col>
      <xdr:colOff>533400</xdr:colOff>
      <xdr:row>159</xdr:row>
      <xdr:rowOff>133350</xdr:rowOff>
    </xdr:to>
    <xdr:graphicFrame macro="">
      <xdr:nvGraphicFramePr>
        <xdr:cNvPr id="16" name="Chart 15">
          <a:extLst>
            <a:ext uri="{FF2B5EF4-FFF2-40B4-BE49-F238E27FC236}">
              <a16:creationId xmlns:a16="http://schemas.microsoft.com/office/drawing/2014/main" id="{46042C23-7040-4879-B6CE-3D79FDBEB39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504824</xdr:colOff>
      <xdr:row>162</xdr:row>
      <xdr:rowOff>161924</xdr:rowOff>
    </xdr:from>
    <xdr:to>
      <xdr:col>8</xdr:col>
      <xdr:colOff>400050</xdr:colOff>
      <xdr:row>175</xdr:row>
      <xdr:rowOff>190500</xdr:rowOff>
    </xdr:to>
    <xdr:graphicFrame macro="">
      <xdr:nvGraphicFramePr>
        <xdr:cNvPr id="17" name="Chart 16">
          <a:extLst>
            <a:ext uri="{FF2B5EF4-FFF2-40B4-BE49-F238E27FC236}">
              <a16:creationId xmlns:a16="http://schemas.microsoft.com/office/drawing/2014/main" id="{7A1BB621-FE02-427D-93DD-1668676AD8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428624</xdr:colOff>
      <xdr:row>162</xdr:row>
      <xdr:rowOff>219074</xdr:rowOff>
    </xdr:from>
    <xdr:to>
      <xdr:col>18</xdr:col>
      <xdr:colOff>514350</xdr:colOff>
      <xdr:row>176</xdr:row>
      <xdr:rowOff>114300</xdr:rowOff>
    </xdr:to>
    <xdr:graphicFrame macro="">
      <xdr:nvGraphicFramePr>
        <xdr:cNvPr id="18" name="Chart 17">
          <a:extLst>
            <a:ext uri="{FF2B5EF4-FFF2-40B4-BE49-F238E27FC236}">
              <a16:creationId xmlns:a16="http://schemas.microsoft.com/office/drawing/2014/main" id="{7C7D25B9-D336-41DE-BBD5-7D85B47428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523874</xdr:colOff>
      <xdr:row>179</xdr:row>
      <xdr:rowOff>161924</xdr:rowOff>
    </xdr:from>
    <xdr:to>
      <xdr:col>8</xdr:col>
      <xdr:colOff>47624</xdr:colOff>
      <xdr:row>191</xdr:row>
      <xdr:rowOff>161924</xdr:rowOff>
    </xdr:to>
    <xdr:graphicFrame macro="">
      <xdr:nvGraphicFramePr>
        <xdr:cNvPr id="19" name="Chart 18">
          <a:extLst>
            <a:ext uri="{FF2B5EF4-FFF2-40B4-BE49-F238E27FC236}">
              <a16:creationId xmlns:a16="http://schemas.microsoft.com/office/drawing/2014/main" id="{AABB5D79-AB70-4CB8-9858-09DF052435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527049</xdr:colOff>
      <xdr:row>179</xdr:row>
      <xdr:rowOff>146048</xdr:rowOff>
    </xdr:from>
    <xdr:to>
      <xdr:col>18</xdr:col>
      <xdr:colOff>523875</xdr:colOff>
      <xdr:row>192</xdr:row>
      <xdr:rowOff>206374</xdr:rowOff>
    </xdr:to>
    <xdr:graphicFrame macro="">
      <xdr:nvGraphicFramePr>
        <xdr:cNvPr id="20" name="Chart 19">
          <a:extLst>
            <a:ext uri="{FF2B5EF4-FFF2-40B4-BE49-F238E27FC236}">
              <a16:creationId xmlns:a16="http://schemas.microsoft.com/office/drawing/2014/main" id="{0CC4BC2C-8113-4434-BFCB-7A360CEC9D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542924</xdr:colOff>
      <xdr:row>195</xdr:row>
      <xdr:rowOff>200024</xdr:rowOff>
    </xdr:from>
    <xdr:to>
      <xdr:col>8</xdr:col>
      <xdr:colOff>85724</xdr:colOff>
      <xdr:row>207</xdr:row>
      <xdr:rowOff>200024</xdr:rowOff>
    </xdr:to>
    <xdr:graphicFrame macro="">
      <xdr:nvGraphicFramePr>
        <xdr:cNvPr id="21" name="Chart 20">
          <a:extLst>
            <a:ext uri="{FF2B5EF4-FFF2-40B4-BE49-F238E27FC236}">
              <a16:creationId xmlns:a16="http://schemas.microsoft.com/office/drawing/2014/main" id="{5936CDFB-B714-4A0F-A649-E2C4B15D42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561974</xdr:colOff>
      <xdr:row>214</xdr:row>
      <xdr:rowOff>142874</xdr:rowOff>
    </xdr:from>
    <xdr:to>
      <xdr:col>8</xdr:col>
      <xdr:colOff>228600</xdr:colOff>
      <xdr:row>230</xdr:row>
      <xdr:rowOff>19050</xdr:rowOff>
    </xdr:to>
    <xdr:graphicFrame macro="">
      <xdr:nvGraphicFramePr>
        <xdr:cNvPr id="22" name="Chart 21">
          <a:extLst>
            <a:ext uri="{FF2B5EF4-FFF2-40B4-BE49-F238E27FC236}">
              <a16:creationId xmlns:a16="http://schemas.microsoft.com/office/drawing/2014/main" id="{265E4AC0-529F-469E-91C6-DC8793FD10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542924</xdr:colOff>
      <xdr:row>235</xdr:row>
      <xdr:rowOff>9524</xdr:rowOff>
    </xdr:from>
    <xdr:to>
      <xdr:col>8</xdr:col>
      <xdr:colOff>209550</xdr:colOff>
      <xdr:row>249</xdr:row>
      <xdr:rowOff>76200</xdr:rowOff>
    </xdr:to>
    <xdr:graphicFrame macro="">
      <xdr:nvGraphicFramePr>
        <xdr:cNvPr id="23" name="Chart 22">
          <a:extLst>
            <a:ext uri="{FF2B5EF4-FFF2-40B4-BE49-F238E27FC236}">
              <a16:creationId xmlns:a16="http://schemas.microsoft.com/office/drawing/2014/main" id="{8D924C13-5906-45EE-8E60-ADCC3FF2CA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9</xdr:col>
      <xdr:colOff>447674</xdr:colOff>
      <xdr:row>235</xdr:row>
      <xdr:rowOff>28574</xdr:rowOff>
    </xdr:from>
    <xdr:to>
      <xdr:col>18</xdr:col>
      <xdr:colOff>57150</xdr:colOff>
      <xdr:row>249</xdr:row>
      <xdr:rowOff>95250</xdr:rowOff>
    </xdr:to>
    <xdr:graphicFrame macro="">
      <xdr:nvGraphicFramePr>
        <xdr:cNvPr id="26" name="Chart 25">
          <a:extLst>
            <a:ext uri="{FF2B5EF4-FFF2-40B4-BE49-F238E27FC236}">
              <a16:creationId xmlns:a16="http://schemas.microsoft.com/office/drawing/2014/main" id="{136199A8-2DB4-4529-B5BC-C091FACA7C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209550</xdr:colOff>
      <xdr:row>3</xdr:row>
      <xdr:rowOff>123825</xdr:rowOff>
    </xdr:from>
    <xdr:to>
      <xdr:col>3</xdr:col>
      <xdr:colOff>371475</xdr:colOff>
      <xdr:row>5</xdr:row>
      <xdr:rowOff>60325</xdr:rowOff>
    </xdr:to>
    <xdr:pic>
      <xdr:nvPicPr>
        <xdr:cNvPr id="2" name="Picture 1">
          <a:extLst>
            <a:ext uri="{FF2B5EF4-FFF2-40B4-BE49-F238E27FC236}">
              <a16:creationId xmlns:a16="http://schemas.microsoft.com/office/drawing/2014/main" id="{288B3F49-E5CC-4D85-83AD-78B321036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1146175"/>
          <a:ext cx="148272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209550</xdr:colOff>
      <xdr:row>3</xdr:row>
      <xdr:rowOff>123825</xdr:rowOff>
    </xdr:from>
    <xdr:to>
      <xdr:col>3</xdr:col>
      <xdr:colOff>371475</xdr:colOff>
      <xdr:row>5</xdr:row>
      <xdr:rowOff>60325</xdr:rowOff>
    </xdr:to>
    <xdr:pic>
      <xdr:nvPicPr>
        <xdr:cNvPr id="3" name="Picture 2">
          <a:extLst>
            <a:ext uri="{FF2B5EF4-FFF2-40B4-BE49-F238E27FC236}">
              <a16:creationId xmlns:a16="http://schemas.microsoft.com/office/drawing/2014/main" id="{3027DC64-C363-4688-8633-0049B945E00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1146175"/>
          <a:ext cx="148272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eqt08\TELECOM\TELECOM\EXCEL\FIXED\Old\KPN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gb24506\restore\23010101\TELC\TELCOS\UK\BT\NEWERA\BTMODEL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HK_OKOK\Bud_rapp\MNDRAPP\2000\0004\Utrapportert\pres0004%20Business%20Solutio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Tell-Us%20Adm-Store-Kunder\&#216;konomi\Periodeavslutning\Res%20Kundedimensjon%202002P2%20EBITD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KSTAB-U2-50-002\DATA1\KOE\KATALOG\GENERELL\ARKIV-ID\TTSEFJ\AARSPAK2.XLS"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Startup" Target="TELCO/MODELS/Emerging/TPSA_WIP.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S:\Shared\shared\TELECOMS\STOCKS\EMEA\Indonesia\01%20Telkom%20Indonesia\Model\PT%20Telkom.xlsx" TargetMode="External"/><Relationship Id="rId1" Type="http://schemas.openxmlformats.org/officeDocument/2006/relationships/externalLinkPath" Target="/Shared/shared/TELECOMS/STOCKS/EMEA/Indonesia/01%20Telkom%20Indonesia/Model/PT%20Telkom.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ocuments%20and%20Settings\t539562\Local%20Settings\Temporary%20Internet%20Files\OLK9\&#216;k%20per%20kontrakt%20-%20tapsavsetnin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STOCKS\EMEA\Russia\MTS\Model\STOCKS\EUROPE\UK\BT\Models\Current\BT5%20Broadband%20Scenario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Koe\Katalog\RAPPORT\Mnd-00\Diverse\maler\Rapportpakke%20Excel%20kvart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sr-ln-fs1v\shared\Documents%20and%20Settings\sdatta\Local%20Settings\Temporary%20Internet%20Files\Content.IE5\YDH85MJN\STOCKS\EUROPE\UK\VOD\Models\Current\Vodafone(2sep0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sdatta/Local%20Settings/Temporary%20Internet%20Files/Content.IE5/YDH85MJN/STOCKS/EUROPE/UK/VOD/Models/Current/Vodafone(2sep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Research\Telecoms\Hakan\JapTemplate2GlobalLONDO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TELECOMS/STOCKS/ASIA%20(ex-Japan)%20Internet/Akik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PN"/>
      <sheetName val="REVENUES"/>
      <sheetName val="KPNMODEL"/>
      <sheetName val="KPNCASH"/>
      <sheetName val="Analytics"/>
      <sheetName val="Imports"/>
      <sheetName val="MOBILE"/>
      <sheetName val="MOBDCF"/>
      <sheetName val="POSTVAL"/>
      <sheetName val="TNT"/>
      <sheetName val="KPNSUM"/>
      <sheetName val="TELDCF"/>
      <sheetName val="COC"/>
      <sheetName val="SHARES"/>
      <sheetName val="MRS data"/>
      <sheetName val="report imports"/>
      <sheetName val="Datapag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slink"/>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VEDMENY"/>
      <sheetName val="Omsres"/>
      <sheetName val="BUS SOL Årsverk og ansatte"/>
      <sheetName val="Årsverk og ansatte"/>
      <sheetName val="InvesteringerBUS SOL"/>
      <sheetName val="Investeringer"/>
      <sheetName val="Business Sol"/>
      <sheetName val="Annualiseringstabell"/>
      <sheetName val="Oms.avvik (2)"/>
      <sheetName val="Driftsinntekter"/>
      <sheetName val="Res.avvik (2)"/>
      <sheetName val="Res. før skatt"/>
      <sheetName val="SKILLEARK"/>
      <sheetName val="Årsverk"/>
      <sheetName val="Res. et. felleskost (2)"/>
      <sheetName val=" UTSTYR"/>
      <sheetName val="BD_KOMM."/>
      <sheetName val="BD_KOMM. (2)"/>
      <sheetName val="SI STORK"/>
      <sheetName val=" BASIS"/>
      <sheetName val="DATAN."/>
      <sheetName val="BK_TALE"/>
      <sheetName val=" DKL"/>
      <sheetName val="IDT"/>
      <sheetName val="DR.TJ"/>
      <sheetName val="SENT.ENH"/>
      <sheetName val="TELF.SELSK"/>
      <sheetName val="Elimineringer"/>
      <sheetName val="Res.avvik"/>
      <sheetName val="Oms.avvik"/>
    </sheetNames>
    <sheetDataSet>
      <sheetData sheetId="0"/>
      <sheetData sheetId="1"/>
      <sheetData sheetId="2"/>
      <sheetData sheetId="3"/>
      <sheetData sheetId="4"/>
      <sheetData sheetId="5"/>
      <sheetData sheetId="6" refreshError="1">
        <row r="8">
          <cell r="F8" t="str">
            <v>Denne periode</v>
          </cell>
          <cell r="I8" t="str">
            <v>Hittil i år</v>
          </cell>
          <cell r="K8" t="str">
            <v xml:space="preserve">Årsbudsjett </v>
          </cell>
        </row>
        <row r="10">
          <cell r="A10" t="str">
            <v>Mill. kr.</v>
          </cell>
          <cell r="E10" t="str">
            <v>F04</v>
          </cell>
          <cell r="F10" t="str">
            <v>B04</v>
          </cell>
          <cell r="G10" t="str">
            <v>Avvik</v>
          </cell>
          <cell r="H10" t="str">
            <v>F04</v>
          </cell>
          <cell r="I10" t="str">
            <v>B04</v>
          </cell>
          <cell r="J10" t="str">
            <v>Avvik</v>
          </cell>
          <cell r="K10">
            <v>2000</v>
          </cell>
        </row>
        <row r="12">
          <cell r="A12" t="str">
            <v>Eksterne driftsinntekter</v>
          </cell>
          <cell r="E12">
            <v>91.320999999999998</v>
          </cell>
          <cell r="F12">
            <v>136.584</v>
          </cell>
          <cell r="G12">
            <v>-45.263000000000005</v>
          </cell>
          <cell r="H12">
            <v>372.24400000000003</v>
          </cell>
          <cell r="I12">
            <v>486.55200000000002</v>
          </cell>
          <cell r="J12">
            <v>-114.30799999999999</v>
          </cell>
          <cell r="K12">
            <v>1759.3979999999999</v>
          </cell>
        </row>
        <row r="13">
          <cell r="A13" t="str">
            <v>Driftsinntekter innen Telenor</v>
          </cell>
          <cell r="E13">
            <v>81.988</v>
          </cell>
          <cell r="F13">
            <v>119.511</v>
          </cell>
          <cell r="G13">
            <v>-37.522999999999996</v>
          </cell>
          <cell r="H13">
            <v>375.31900000000002</v>
          </cell>
          <cell r="I13">
            <v>459.3</v>
          </cell>
          <cell r="J13">
            <v>-83.980999999999995</v>
          </cell>
          <cell r="K13">
            <v>1552.173</v>
          </cell>
        </row>
        <row r="14">
          <cell r="A14" t="str">
            <v>Driftsinntekter innen Business Solution</v>
          </cell>
          <cell r="E14">
            <v>0</v>
          </cell>
          <cell r="F14">
            <v>0</v>
          </cell>
          <cell r="G14">
            <v>0</v>
          </cell>
          <cell r="H14">
            <v>0</v>
          </cell>
          <cell r="I14">
            <v>0</v>
          </cell>
          <cell r="J14">
            <v>0</v>
          </cell>
          <cell r="K14">
            <v>0</v>
          </cell>
        </row>
        <row r="15">
          <cell r="A15" t="str">
            <v>Gevinst ved salg av VDM og virksomhet eksternt</v>
          </cell>
          <cell r="E15">
            <v>0</v>
          </cell>
          <cell r="F15">
            <v>0</v>
          </cell>
          <cell r="G15">
            <v>0</v>
          </cell>
          <cell r="H15">
            <v>0</v>
          </cell>
          <cell r="I15">
            <v>0</v>
          </cell>
          <cell r="J15">
            <v>0</v>
          </cell>
          <cell r="K15">
            <v>0</v>
          </cell>
        </row>
        <row r="16">
          <cell r="A16" t="str">
            <v>SUM OMSETNING</v>
          </cell>
          <cell r="E16">
            <v>173.309</v>
          </cell>
          <cell r="F16">
            <v>256.09500000000003</v>
          </cell>
          <cell r="G16">
            <v>-82.786000000000001</v>
          </cell>
          <cell r="H16">
            <v>747.5630000000001</v>
          </cell>
          <cell r="I16">
            <v>945.85200000000009</v>
          </cell>
          <cell r="J16">
            <v>-198.28899999999999</v>
          </cell>
          <cell r="K16">
            <v>3311.5709999999999</v>
          </cell>
        </row>
        <row r="18">
          <cell r="A18" t="str">
            <v>Eksterne vare- og trafikkostnader</v>
          </cell>
          <cell r="E18">
            <v>82.016000000000005</v>
          </cell>
          <cell r="F18">
            <v>139.30600000000001</v>
          </cell>
          <cell r="G18">
            <v>57.290000000000006</v>
          </cell>
          <cell r="H18">
            <v>378.68400000000003</v>
          </cell>
          <cell r="I18">
            <v>517.95600000000002</v>
          </cell>
          <cell r="J18">
            <v>139.27199999999999</v>
          </cell>
          <cell r="K18">
            <v>1788.82</v>
          </cell>
        </row>
        <row r="19">
          <cell r="A19" t="str">
            <v>Vare- og trafikkostnad innen Telenor</v>
          </cell>
          <cell r="E19">
            <v>27.591999999999999</v>
          </cell>
          <cell r="F19">
            <v>30.11</v>
          </cell>
          <cell r="G19">
            <v>2.5180000000000007</v>
          </cell>
          <cell r="H19">
            <v>123.145</v>
          </cell>
          <cell r="I19">
            <v>115.96299999999999</v>
          </cell>
          <cell r="J19">
            <v>-7.1820000000000022</v>
          </cell>
          <cell r="K19">
            <v>393.41800000000001</v>
          </cell>
        </row>
        <row r="20">
          <cell r="A20" t="str">
            <v>Vare- og trafikkostnad innen Business Solution</v>
          </cell>
          <cell r="E20">
            <v>0</v>
          </cell>
          <cell r="F20">
            <v>0</v>
          </cell>
          <cell r="G20">
            <v>0</v>
          </cell>
          <cell r="H20">
            <v>0</v>
          </cell>
          <cell r="I20">
            <v>0</v>
          </cell>
          <cell r="J20">
            <v>0</v>
          </cell>
          <cell r="K20">
            <v>0</v>
          </cell>
        </row>
        <row r="21">
          <cell r="A21" t="str">
            <v>SUM VAREKOST</v>
          </cell>
          <cell r="E21">
            <v>109.608</v>
          </cell>
          <cell r="F21">
            <v>169.416</v>
          </cell>
          <cell r="G21">
            <v>59.808000000000007</v>
          </cell>
          <cell r="H21">
            <v>501.82900000000001</v>
          </cell>
          <cell r="I21">
            <v>633.91899999999998</v>
          </cell>
          <cell r="J21">
            <v>132.08999999999997</v>
          </cell>
          <cell r="K21">
            <v>2182.2379999999998</v>
          </cell>
        </row>
        <row r="23">
          <cell r="A23" t="str">
            <v>DEKNINGSBIDRAG</v>
          </cell>
          <cell r="E23">
            <v>63.700999999999993</v>
          </cell>
          <cell r="F23">
            <v>86.67900000000003</v>
          </cell>
          <cell r="G23">
            <v>-22.978000000000037</v>
          </cell>
          <cell r="H23">
            <v>245.73400000000009</v>
          </cell>
          <cell r="I23">
            <v>311.93300000000011</v>
          </cell>
          <cell r="J23">
            <v>-66.199000000000012</v>
          </cell>
          <cell r="K23">
            <v>1129.3330000000001</v>
          </cell>
        </row>
        <row r="25">
          <cell r="A25" t="str">
            <v>Beh.endring egentilvirkede amidl</v>
          </cell>
          <cell r="E25">
            <v>0</v>
          </cell>
          <cell r="F25">
            <v>0</v>
          </cell>
          <cell r="G25">
            <v>0</v>
          </cell>
          <cell r="H25">
            <v>0</v>
          </cell>
          <cell r="I25">
            <v>0</v>
          </cell>
          <cell r="J25">
            <v>0</v>
          </cell>
          <cell r="K25">
            <v>0</v>
          </cell>
        </row>
        <row r="26">
          <cell r="A26" t="str">
            <v>Lønns- og personalkostnader eksternt</v>
          </cell>
          <cell r="E26">
            <v>56.027000000000001</v>
          </cell>
          <cell r="F26">
            <v>61.064999999999998</v>
          </cell>
          <cell r="G26">
            <v>5.0379999999999967</v>
          </cell>
          <cell r="H26">
            <v>224.292</v>
          </cell>
          <cell r="I26">
            <v>248.75700000000001</v>
          </cell>
          <cell r="J26">
            <v>24.465000000000003</v>
          </cell>
          <cell r="K26">
            <v>726.31299999999999</v>
          </cell>
        </row>
        <row r="27">
          <cell r="A27" t="str">
            <v>Lønns- og personalkostnader innen Telenor</v>
          </cell>
          <cell r="E27">
            <v>-5.7000000000000002E-2</v>
          </cell>
          <cell r="F27">
            <v>0.94799999999999995</v>
          </cell>
          <cell r="G27">
            <v>1.0049999999999999</v>
          </cell>
          <cell r="H27">
            <v>3.2949999999999999</v>
          </cell>
          <cell r="I27">
            <v>3.746</v>
          </cell>
          <cell r="J27">
            <v>0.45100000000000007</v>
          </cell>
          <cell r="K27">
            <v>11.271000000000001</v>
          </cell>
        </row>
        <row r="28">
          <cell r="A28" t="str">
            <v>Lønns- og personalkostnader innen Business Solution</v>
          </cell>
          <cell r="E28">
            <v>0</v>
          </cell>
          <cell r="F28">
            <v>0</v>
          </cell>
          <cell r="G28">
            <v>0</v>
          </cell>
          <cell r="H28">
            <v>0</v>
          </cell>
          <cell r="I28">
            <v>0</v>
          </cell>
          <cell r="J28">
            <v>0</v>
          </cell>
          <cell r="K28">
            <v>0</v>
          </cell>
        </row>
        <row r="29">
          <cell r="A29" t="str">
            <v>Andre eksterne driftskostnader</v>
          </cell>
          <cell r="E29">
            <v>18.728999999999999</v>
          </cell>
          <cell r="F29">
            <v>23.719000000000001</v>
          </cell>
          <cell r="G29">
            <v>4.990000000000002</v>
          </cell>
          <cell r="H29">
            <v>91.078000000000003</v>
          </cell>
          <cell r="I29">
            <v>105.411</v>
          </cell>
          <cell r="J29">
            <v>14.332999999999998</v>
          </cell>
          <cell r="K29">
            <v>303.50400000000002</v>
          </cell>
        </row>
        <row r="30">
          <cell r="A30" t="str">
            <v>Andre driftskostnader innen Telenor</v>
          </cell>
          <cell r="E30">
            <v>12.3</v>
          </cell>
          <cell r="F30">
            <v>15.862</v>
          </cell>
          <cell r="G30">
            <v>3.5619999999999994</v>
          </cell>
          <cell r="H30">
            <v>56.222999999999999</v>
          </cell>
          <cell r="I30">
            <v>58.762</v>
          </cell>
          <cell r="J30">
            <v>2.5390000000000015</v>
          </cell>
          <cell r="K30">
            <v>180.798</v>
          </cell>
        </row>
        <row r="31">
          <cell r="A31" t="str">
            <v>Andre driftskostnader innen Business Solution</v>
          </cell>
          <cell r="E31">
            <v>0</v>
          </cell>
          <cell r="F31">
            <v>0</v>
          </cell>
          <cell r="G31">
            <v>0</v>
          </cell>
          <cell r="H31">
            <v>0</v>
          </cell>
          <cell r="I31">
            <v>0</v>
          </cell>
          <cell r="J31">
            <v>0</v>
          </cell>
          <cell r="K31">
            <v>0</v>
          </cell>
        </row>
        <row r="32">
          <cell r="A32" t="str">
            <v>Avskrivninger</v>
          </cell>
          <cell r="E32">
            <v>5.12</v>
          </cell>
          <cell r="F32">
            <v>6.6550000000000002</v>
          </cell>
          <cell r="G32">
            <v>1.5350000000000001</v>
          </cell>
          <cell r="H32">
            <v>20.376999999999999</v>
          </cell>
          <cell r="I32">
            <v>25.831</v>
          </cell>
          <cell r="J32">
            <v>5.4540000000000006</v>
          </cell>
          <cell r="K32">
            <v>84.128</v>
          </cell>
        </row>
        <row r="33">
          <cell r="A33" t="str">
            <v>Nedskrivninger</v>
          </cell>
        </row>
        <row r="34">
          <cell r="A34" t="str">
            <v>Tap ved salg av VDM og virksomhet eksternt</v>
          </cell>
        </row>
        <row r="35">
          <cell r="A35" t="str">
            <v>Sum Andre driftskostnader</v>
          </cell>
          <cell r="E35">
            <v>92.119</v>
          </cell>
          <cell r="F35">
            <v>108.249</v>
          </cell>
          <cell r="G35">
            <v>16.129999999999995</v>
          </cell>
          <cell r="H35">
            <v>395.26499999999999</v>
          </cell>
          <cell r="I35">
            <v>442.50700000000001</v>
          </cell>
          <cell r="J35">
            <v>47.242000000000004</v>
          </cell>
          <cell r="K35">
            <v>1306.0139999999999</v>
          </cell>
        </row>
        <row r="37">
          <cell r="A37" t="str">
            <v>DRIFTSRESULTAT</v>
          </cell>
          <cell r="E37">
            <v>-28.418000000000006</v>
          </cell>
          <cell r="F37">
            <v>-21.569999999999965</v>
          </cell>
          <cell r="G37">
            <v>-6.8480000000000416</v>
          </cell>
          <cell r="H37">
            <v>-149.53099999999989</v>
          </cell>
          <cell r="I37">
            <v>-130.5739999999999</v>
          </cell>
          <cell r="J37">
            <v>-18.956999999999994</v>
          </cell>
          <cell r="K37">
            <v>-176.68099999999981</v>
          </cell>
        </row>
        <row r="39">
          <cell r="A39" t="str">
            <v>Andel resultat tilknyttede selskaper</v>
          </cell>
          <cell r="E39">
            <v>-0.99299999999999999</v>
          </cell>
          <cell r="F39">
            <v>-0.16900000000000001</v>
          </cell>
          <cell r="G39">
            <v>-0.82399999999999995</v>
          </cell>
          <cell r="H39">
            <v>-3.2850000000000001</v>
          </cell>
          <cell r="I39">
            <v>-0.222</v>
          </cell>
          <cell r="J39">
            <v>-3.0630000000000002</v>
          </cell>
          <cell r="K39">
            <v>-4.4160000000000004</v>
          </cell>
        </row>
        <row r="41">
          <cell r="A41" t="str">
            <v>Eksterne finansinntekter</v>
          </cell>
          <cell r="E41">
            <v>0.85799999999999998</v>
          </cell>
          <cell r="F41">
            <v>0.03</v>
          </cell>
          <cell r="G41">
            <v>0.82799999999999996</v>
          </cell>
          <cell r="H41">
            <v>1.841</v>
          </cell>
          <cell r="I41">
            <v>0.12</v>
          </cell>
          <cell r="J41">
            <v>1.7210000000000001</v>
          </cell>
          <cell r="K41">
            <v>0.36</v>
          </cell>
        </row>
        <row r="42">
          <cell r="A42" t="str">
            <v>Finansinntekter innen Telenor</v>
          </cell>
          <cell r="E42">
            <v>1.8140000000000001</v>
          </cell>
          <cell r="F42">
            <v>0.66200000000000003</v>
          </cell>
          <cell r="G42">
            <v>1.1520000000000001</v>
          </cell>
          <cell r="H42">
            <v>6.95</v>
          </cell>
          <cell r="I42">
            <v>2.6459999999999999</v>
          </cell>
          <cell r="J42">
            <v>4.3040000000000003</v>
          </cell>
          <cell r="K42">
            <v>7.9379999999999988</v>
          </cell>
        </row>
        <row r="43">
          <cell r="A43" t="str">
            <v>Gevinst ved salg av finansielle omløpsmidler og anleggsmidler eksternt</v>
          </cell>
          <cell r="E43">
            <v>0</v>
          </cell>
          <cell r="F43">
            <v>0</v>
          </cell>
          <cell r="G43">
            <v>0</v>
          </cell>
          <cell r="H43">
            <v>0</v>
          </cell>
          <cell r="I43">
            <v>0</v>
          </cell>
          <cell r="J43">
            <v>0</v>
          </cell>
          <cell r="K43">
            <v>0</v>
          </cell>
        </row>
        <row r="44">
          <cell r="A44" t="str">
            <v>Eksterne finanskostnader</v>
          </cell>
          <cell r="E44">
            <v>-1.8009999999999999</v>
          </cell>
          <cell r="F44">
            <v>-2.9000000000000001E-2</v>
          </cell>
          <cell r="G44">
            <v>-1.772</v>
          </cell>
          <cell r="H44">
            <v>-5.2569999999999997</v>
          </cell>
          <cell r="I44">
            <v>-0.11799999999999999</v>
          </cell>
          <cell r="J44">
            <v>-5.1389999999999993</v>
          </cell>
          <cell r="K44">
            <v>-0.35499999999999998</v>
          </cell>
        </row>
        <row r="45">
          <cell r="A45" t="str">
            <v>Finanskostnader innen Telenor</v>
          </cell>
          <cell r="E45">
            <v>-0.67900000000000005</v>
          </cell>
          <cell r="F45">
            <v>0</v>
          </cell>
          <cell r="G45">
            <v>-0.67900000000000005</v>
          </cell>
          <cell r="H45">
            <v>-1.7390000000000001</v>
          </cell>
          <cell r="I45">
            <v>0</v>
          </cell>
          <cell r="J45">
            <v>-1.7390000000000001</v>
          </cell>
          <cell r="K45">
            <v>0</v>
          </cell>
        </row>
        <row r="46">
          <cell r="A46" t="str">
            <v>Tap ved salg av finansielle omløpsmidler og anleggsmidler eksternt</v>
          </cell>
          <cell r="E46">
            <v>0</v>
          </cell>
          <cell r="F46">
            <v>0</v>
          </cell>
          <cell r="H46">
            <v>0</v>
          </cell>
          <cell r="I46">
            <v>0</v>
          </cell>
          <cell r="J46">
            <v>0</v>
          </cell>
          <cell r="K46">
            <v>0</v>
          </cell>
        </row>
        <row r="47">
          <cell r="A47" t="str">
            <v>Netto finansposter</v>
          </cell>
          <cell r="E47">
            <v>0.19200000000000017</v>
          </cell>
          <cell r="F47">
            <v>0.66300000000000003</v>
          </cell>
          <cell r="G47">
            <v>-0.47099999999999986</v>
          </cell>
          <cell r="H47">
            <v>1.7950000000000006</v>
          </cell>
          <cell r="I47">
            <v>2.6480000000000001</v>
          </cell>
          <cell r="J47">
            <v>-0.85299999999999954</v>
          </cell>
          <cell r="K47">
            <v>7.9429999999999978</v>
          </cell>
        </row>
        <row r="49">
          <cell r="A49" t="str">
            <v>RESULTAT FØR FORDELTE FELLESKOSTNADER</v>
          </cell>
          <cell r="E49">
            <v>-29.219000000000005</v>
          </cell>
          <cell r="F49">
            <v>-21.075999999999965</v>
          </cell>
          <cell r="G49">
            <v>-8.1430000000000415</v>
          </cell>
          <cell r="H49">
            <v>-151.0209999999999</v>
          </cell>
          <cell r="I49">
            <v>-128.14799999999991</v>
          </cell>
          <cell r="J49">
            <v>-22.87299999999999</v>
          </cell>
        </row>
        <row r="51">
          <cell r="A51" t="str">
            <v>Fordelte felleskostnader</v>
          </cell>
          <cell r="E51">
            <v>0</v>
          </cell>
          <cell r="F51">
            <v>0</v>
          </cell>
          <cell r="G51">
            <v>0</v>
          </cell>
          <cell r="H51">
            <v>0</v>
          </cell>
          <cell r="I51">
            <v>0</v>
          </cell>
          <cell r="J51">
            <v>0</v>
          </cell>
        </row>
        <row r="53">
          <cell r="A53" t="str">
            <v>RESULTAT FØR SKATT</v>
          </cell>
          <cell r="E53">
            <v>-29.219000000000005</v>
          </cell>
          <cell r="F53">
            <v>-21.075999999999965</v>
          </cell>
          <cell r="G53">
            <v>-8.1430000000000415</v>
          </cell>
          <cell r="H53">
            <v>-151.0209999999999</v>
          </cell>
          <cell r="I53">
            <v>-128.14799999999991</v>
          </cell>
          <cell r="J53">
            <v>-22.87299999999999</v>
          </cell>
          <cell r="K53">
            <v>-173.15399999999983</v>
          </cell>
        </row>
        <row r="55">
          <cell r="A55" t="str">
            <v>Skatt</v>
          </cell>
        </row>
        <row r="57">
          <cell r="A57" t="str">
            <v>Minoritetsinteresser</v>
          </cell>
        </row>
        <row r="59">
          <cell r="A59" t="str">
            <v>Resultat etter skatt (årsresultat)</v>
          </cell>
        </row>
        <row r="61">
          <cell r="A61" t="str">
            <v>NØKKELTALL:</v>
          </cell>
        </row>
        <row r="62">
          <cell r="A62" t="str">
            <v>Dekningsgrad</v>
          </cell>
          <cell r="E62">
            <v>0.36755736863059618</v>
          </cell>
          <cell r="F62">
            <v>0.33846424178527507</v>
          </cell>
          <cell r="G62">
            <v>0.27755900756166546</v>
          </cell>
          <cell r="H62">
            <v>0.32871343284780019</v>
          </cell>
          <cell r="I62">
            <v>0.32979049576466518</v>
          </cell>
          <cell r="J62">
            <v>0.33385109612736974</v>
          </cell>
          <cell r="K62">
            <v>0.34102635878862331</v>
          </cell>
        </row>
        <row r="63">
          <cell r="A63" t="str">
            <v>Driftsmargin</v>
          </cell>
          <cell r="E63">
            <v>-0.1639730192892464</v>
          </cell>
          <cell r="F63">
            <v>-8.4226556551279655E-2</v>
          </cell>
          <cell r="G63">
            <v>8.271930036479648E-2</v>
          </cell>
          <cell r="H63">
            <v>-0.20002461331018237</v>
          </cell>
          <cell r="I63">
            <v>-0.13804908167451133</v>
          </cell>
          <cell r="J63">
            <v>9.5602882661166247E-2</v>
          </cell>
          <cell r="K63">
            <v>-5.3352623271552935E-2</v>
          </cell>
        </row>
        <row r="64">
          <cell r="A64" t="str">
            <v>Resultatmargin</v>
          </cell>
          <cell r="E64">
            <v>-0.16859482196539133</v>
          </cell>
          <cell r="F64">
            <v>-8.2297584880610564E-2</v>
          </cell>
          <cell r="G64">
            <v>9.8362041891141519E-2</v>
          </cell>
          <cell r="H64">
            <v>-0.2020177563630087</v>
          </cell>
          <cell r="I64">
            <v>-0.13548419837352979</v>
          </cell>
          <cell r="J64">
            <v>0.11535183494797993</v>
          </cell>
          <cell r="K64">
            <v>-5.2287569857327486E-2</v>
          </cell>
        </row>
        <row r="65">
          <cell r="A65" t="str">
            <v>Resultatmargin etter fordelte kostnader</v>
          </cell>
          <cell r="E65">
            <v>-0.16859482196539133</v>
          </cell>
          <cell r="F65">
            <v>-8.2297584880610564E-2</v>
          </cell>
          <cell r="G65">
            <v>9.8362041891141519E-2</v>
          </cell>
          <cell r="H65">
            <v>-0.2020177563630087</v>
          </cell>
          <cell r="I65">
            <v>-0.13548419837352979</v>
          </cell>
          <cell r="J65">
            <v>0.11535183494797993</v>
          </cell>
          <cell r="K65">
            <v>-5.2287569857327486E-2</v>
          </cell>
        </row>
        <row r="66">
          <cell r="A66" t="str">
            <v>Driftskostnad i % av omsetning 1)</v>
          </cell>
          <cell r="E66">
            <v>0.43134516961034913</v>
          </cell>
          <cell r="F66">
            <v>0.33106464397977309</v>
          </cell>
          <cell r="G66">
            <v>-0.12113159229821466</v>
          </cell>
          <cell r="H66">
            <v>0.42186411044955402</v>
          </cell>
          <cell r="I66">
            <v>0.37444335900331127</v>
          </cell>
          <cell r="J66">
            <v>-0.19566390470474915</v>
          </cell>
          <cell r="K66">
            <v>0.31097536486459149</v>
          </cell>
        </row>
        <row r="67">
          <cell r="A67" t="str">
            <v>Pers.kost pr. årsverk 2) 3)</v>
          </cell>
          <cell r="E67">
            <v>0.2795617817916457</v>
          </cell>
          <cell r="F67">
            <v>0.27260063898778492</v>
          </cell>
          <cell r="G67">
            <v>-6.961142803860787E-3</v>
          </cell>
          <cell r="H67">
            <v>0.27430440039273279</v>
          </cell>
          <cell r="I67">
            <v>0.28494292301723145</v>
          </cell>
          <cell r="J67">
            <v>1.0638522624498659E-2</v>
          </cell>
          <cell r="K67">
            <v>797.12128362435112</v>
          </cell>
        </row>
        <row r="68">
          <cell r="A68" t="str">
            <v>Andre dr.kost. pr. årsverk 2) 3)</v>
          </cell>
          <cell r="E68">
            <v>0</v>
          </cell>
          <cell r="F68" t="e">
            <v>#DIV/0!</v>
          </cell>
          <cell r="G68" t="e">
            <v>#DIV/0!</v>
          </cell>
          <cell r="J68">
            <v>0</v>
          </cell>
          <cell r="K68">
            <v>333.09261718449909</v>
          </cell>
        </row>
        <row r="70">
          <cell r="A70" t="str">
            <v>Årsverk - egne</v>
          </cell>
          <cell r="H70">
            <v>1057</v>
          </cell>
          <cell r="I70">
            <v>1195</v>
          </cell>
          <cell r="J70">
            <v>138</v>
          </cell>
          <cell r="K70">
            <v>1224</v>
          </cell>
        </row>
        <row r="71">
          <cell r="A71" t="str">
            <v>Årsverk - innleide</v>
          </cell>
          <cell r="H71">
            <v>59</v>
          </cell>
          <cell r="I71">
            <v>31</v>
          </cell>
          <cell r="J71">
            <v>-28</v>
          </cell>
          <cell r="K71">
            <v>21</v>
          </cell>
        </row>
        <row r="73">
          <cell r="A73" t="str">
            <v>Investeringer</v>
          </cell>
          <cell r="H73">
            <v>13</v>
          </cell>
          <cell r="I73">
            <v>93</v>
          </cell>
          <cell r="J73">
            <v>80</v>
          </cell>
          <cell r="K73">
            <v>263</v>
          </cell>
        </row>
        <row r="75">
          <cell r="A75" t="str">
            <v>1) Driftskostnad = Pers.kost. + andre driftskostnader</v>
          </cell>
        </row>
        <row r="76">
          <cell r="A76" t="str">
            <v>2) Annualisert</v>
          </cell>
        </row>
        <row r="77">
          <cell r="A77" t="str">
            <v>3) Tusen kr.</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BITDA"/>
      <sheetName val="2002 Total"/>
      <sheetName val="EBITDA mnd"/>
      <sheetName val="R2002"/>
      <sheetName val="B2002"/>
      <sheetName val="ASK"/>
      <sheetName val="Standardkalkyle"/>
      <sheetName val="Diagram DB"/>
      <sheetName val="Omsetning diagram"/>
      <sheetName val="Grunnlag diagram"/>
      <sheetName val="Grunndata"/>
      <sheetName val="A-sted"/>
      <sheetName val="K-kost"/>
    </sheetNames>
    <sheetDataSet>
      <sheetData sheetId="0" refreshError="1"/>
      <sheetData sheetId="1"/>
      <sheetData sheetId="2" refreshError="1"/>
      <sheetData sheetId="3"/>
      <sheetData sheetId="4"/>
      <sheetData sheetId="5" refreshError="1"/>
      <sheetData sheetId="6"/>
      <sheetData sheetId="7" refreshError="1"/>
      <sheetData sheetId="8" refreshError="1"/>
      <sheetData sheetId="9" refreshError="1"/>
      <sheetData sheetId="10" refreshError="1">
        <row r="3">
          <cell r="A3">
            <v>1</v>
          </cell>
          <cell r="B3" t="str">
            <v>Januar</v>
          </cell>
          <cell r="C3">
            <v>1</v>
          </cell>
        </row>
        <row r="4">
          <cell r="A4">
            <v>2</v>
          </cell>
          <cell r="B4" t="str">
            <v>Februar</v>
          </cell>
          <cell r="C4">
            <v>2</v>
          </cell>
        </row>
        <row r="5">
          <cell r="A5">
            <v>3</v>
          </cell>
          <cell r="B5" t="str">
            <v>Mars</v>
          </cell>
          <cell r="C5">
            <v>3</v>
          </cell>
        </row>
        <row r="6">
          <cell r="A6">
            <v>4</v>
          </cell>
          <cell r="B6" t="str">
            <v>April</v>
          </cell>
          <cell r="C6">
            <v>4</v>
          </cell>
        </row>
        <row r="7">
          <cell r="A7">
            <v>5</v>
          </cell>
          <cell r="B7" t="str">
            <v>Mai</v>
          </cell>
          <cell r="C7">
            <v>5</v>
          </cell>
        </row>
        <row r="8">
          <cell r="A8">
            <v>6</v>
          </cell>
          <cell r="B8" t="str">
            <v>Juni</v>
          </cell>
          <cell r="C8">
            <v>6</v>
          </cell>
        </row>
        <row r="9">
          <cell r="A9">
            <v>7</v>
          </cell>
          <cell r="B9" t="str">
            <v>Juli</v>
          </cell>
          <cell r="C9">
            <v>7</v>
          </cell>
        </row>
        <row r="10">
          <cell r="A10">
            <v>8</v>
          </cell>
          <cell r="B10" t="str">
            <v>August</v>
          </cell>
          <cell r="C10">
            <v>8</v>
          </cell>
        </row>
        <row r="11">
          <cell r="A11">
            <v>9</v>
          </cell>
          <cell r="B11" t="str">
            <v>September</v>
          </cell>
          <cell r="C11">
            <v>9</v>
          </cell>
        </row>
        <row r="12">
          <cell r="A12">
            <v>10</v>
          </cell>
          <cell r="B12" t="str">
            <v>Oktober</v>
          </cell>
          <cell r="C12">
            <v>10</v>
          </cell>
        </row>
        <row r="13">
          <cell r="A13">
            <v>11</v>
          </cell>
          <cell r="B13" t="str">
            <v>November</v>
          </cell>
          <cell r="C13">
            <v>11</v>
          </cell>
        </row>
        <row r="14">
          <cell r="A14">
            <v>12</v>
          </cell>
          <cell r="B14" t="str">
            <v>Desember</v>
          </cell>
          <cell r="C14">
            <v>12</v>
          </cell>
        </row>
      </sheetData>
      <sheetData sheetId="11"/>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forma"/>
      <sheetName val="Grunndata"/>
      <sheetName val="tot"/>
      <sheetName val="CAPEX LRBP_Input"/>
      <sheetName val="Forside"/>
      <sheetName val="Front"/>
      <sheetName val="Sheet-8"/>
      <sheetName val="สรุปราคาค่าก่อสร้าง"/>
      <sheetName val="TB-2001-Apr'01"/>
      <sheetName val="TrialBalance Q3-2002"/>
      <sheetName val="1602-97"/>
      <sheetName val="19"/>
      <sheetName val="K-8"/>
      <sheetName val="เงินกู้ธนชาติ"/>
      <sheetName val="List_of_New_Sites_Propose2"/>
      <sheetName val="ADJ - RATE"/>
      <sheetName val="TOTAL PGS Group"/>
      <sheetName val="Sheet3"/>
      <sheetName val="Mar21"/>
      <sheetName val="Dtn-Jan 21  "/>
      <sheetName val="DTAC Telenor"/>
      <sheetName val="Account code for NewERP"/>
      <sheetName val="RC-New (VF.Feb21)"/>
      <sheetName val="list"/>
      <sheetName val="AARSPAK2"/>
      <sheetName val="Sheet1"/>
      <sheetName val="Employees"/>
      <sheetName val="UAD"/>
      <sheetName val="Basis P&amp;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stats"/>
      <sheetName val="Report Template"/>
      <sheetName val="Shareholder Structure"/>
      <sheetName val="Tariffs&amp;Traffic"/>
      <sheetName val="TPSA_Model"/>
      <sheetName val="__FDSCACHE__"/>
      <sheetName val="GSM"/>
      <sheetName val="Centertel_Model"/>
      <sheetName val="Centertel Consolidations"/>
      <sheetName val="TPSA_Capex"/>
      <sheetName val="TPSA_Group"/>
      <sheetName val="mwareValPrintout"/>
      <sheetName val="mwareTaxoPres"/>
      <sheetName val="Group_DCF"/>
      <sheetName val="Valuation Multiples"/>
      <sheetName val="Valuation Chart"/>
      <sheetName val="TPSA Q"/>
      <sheetName val="Dividend Chart"/>
      <sheetName val="Quarterly"/>
      <sheetName val="Consensus"/>
      <sheetName val="Mobile Ops Summary"/>
      <sheetName val="Centertel_Fins"/>
      <sheetName val="IS(PAS)consol"/>
      <sheetName val="CF(PAS)unconsol"/>
      <sheetName val="IS(PAS)unconsol"/>
      <sheetName val="GE 2"/>
      <sheetName val="Debt Summary"/>
      <sheetName val="Changes"/>
      <sheetName val="Benchmarking"/>
      <sheetName val="Chart Data"/>
      <sheetName val="Charts"/>
      <sheetName val="Sublink churn"/>
      <sheetName val="Link"/>
      <sheetName val="GE Upload"/>
      <sheetName val="FT-Link"/>
      <sheetName val="mwareDates"/>
      <sheetName val="Operational Changes"/>
      <sheetName val="mwarePreview"/>
      <sheetName val="Taglink"/>
      <sheetName val="MSAM Link"/>
      <sheetName val="TPSAQ link"/>
      <sheetName val="Quarterly_Table"/>
      <sheetName val="Quarterly Segments"/>
      <sheetName val="BS(PAS)unconsol"/>
      <sheetName val="CF(PAS)consol"/>
      <sheetName val="BS(PAS)consol"/>
      <sheetName val="Proportional"/>
      <sheetName val="Centertel_DCF"/>
      <sheetName val="TPSA_DCF"/>
      <sheetName val="mwareSettings"/>
      <sheetName val="Cellular_Market"/>
      <sheetName val="NMT"/>
      <sheetName val="Relative Pricing"/>
      <sheetName val="Sheet1"/>
      <sheetName val="xbrldates"/>
      <sheetName val="xbrlPreview"/>
      <sheetName val="xbrlSettings"/>
      <sheetName val="TPSA_WIP"/>
      <sheetName val="Macro_Assumptions"/>
      <sheetName val="MWare_Cached"/>
    </sheetNames>
    <sheetDataSet>
      <sheetData sheetId="0" refreshError="1"/>
      <sheetData sheetId="1" refreshError="1"/>
      <sheetData sheetId="2" refreshError="1"/>
      <sheetData sheetId="3" refreshError="1"/>
      <sheetData sheetId="4" refreshError="1">
        <row r="468">
          <cell r="O468">
            <v>7427.9247366746959</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SOP"/>
      <sheetName val="Financials"/>
      <sheetName val="Balance sheet and cash-flow"/>
      <sheetName val="Telkomsel"/>
      <sheetName val="Fixed"/>
      <sheetName val="Inputs"/>
      <sheetName val="Forecast changes"/>
      <sheetName val="Anna"/>
      <sheetName val="Lisbon - New"/>
      <sheetName val="Link for Singtel"/>
      <sheetName val="Reported Group Highlights"/>
      <sheetName val="Telkomsel-Indihome"/>
      <sheetName val="Enterprise"/>
      <sheetName val="Charts"/>
      <sheetName val="New vs. old"/>
      <sheetName val="Sheet1"/>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BITDA"/>
      <sheetName val="2002 Total"/>
      <sheetName val="EBITDA mnd"/>
      <sheetName val="R2002"/>
      <sheetName val="B2002"/>
      <sheetName val="ASK"/>
      <sheetName val="Standardkalkyle"/>
      <sheetName val="Diagram DB"/>
      <sheetName val="Omsetning diagram"/>
      <sheetName val="Grunnlag diagram"/>
      <sheetName val="Grunndata"/>
      <sheetName val="A-sted"/>
      <sheetName val="K-kost"/>
    </sheetNames>
    <sheetDataSet>
      <sheetData sheetId="0" refreshError="1"/>
      <sheetData sheetId="1"/>
      <sheetData sheetId="2" refreshError="1"/>
      <sheetData sheetId="3"/>
      <sheetData sheetId="4"/>
      <sheetData sheetId="5" refreshError="1"/>
      <sheetData sheetId="6" refreshError="1"/>
      <sheetData sheetId="7" refreshError="1"/>
      <sheetData sheetId="8" refreshError="1"/>
      <sheetData sheetId="9" refreshError="1"/>
      <sheetData sheetId="10"/>
      <sheetData sheetId="11" refreshError="1">
        <row r="8">
          <cell r="A8" t="str">
            <v>92000</v>
          </cell>
          <cell r="B8">
            <v>572754.43999999994</v>
          </cell>
          <cell r="C8">
            <v>638109.75</v>
          </cell>
          <cell r="D8">
            <v>455414.35</v>
          </cell>
          <cell r="E8">
            <v>633339.72</v>
          </cell>
          <cell r="F8">
            <v>1213897.45</v>
          </cell>
          <cell r="G8">
            <v>1357058.72</v>
          </cell>
          <cell r="H8">
            <v>906607.45</v>
          </cell>
          <cell r="I8">
            <v>1485501.87</v>
          </cell>
          <cell r="J8">
            <v>1471471.16</v>
          </cell>
          <cell r="O8" t="str">
            <v>92000</v>
          </cell>
          <cell r="P8">
            <v>572754.43999999994</v>
          </cell>
          <cell r="Q8">
            <v>1210864.19</v>
          </cell>
          <cell r="R8">
            <v>1666278.54</v>
          </cell>
          <cell r="S8">
            <v>2299618.2599999998</v>
          </cell>
          <cell r="T8">
            <v>3513515.71</v>
          </cell>
          <cell r="U8">
            <v>4870574.43</v>
          </cell>
          <cell r="V8">
            <v>5777181.8799999999</v>
          </cell>
          <cell r="W8">
            <v>7262683.75</v>
          </cell>
          <cell r="X8">
            <v>8734154.9100000001</v>
          </cell>
          <cell r="Y8">
            <v>8734154.9100000001</v>
          </cell>
          <cell r="Z8">
            <v>8734154.9100000001</v>
          </cell>
          <cell r="AA8">
            <v>8734154.9100000001</v>
          </cell>
        </row>
        <row r="9">
          <cell r="A9" t="str">
            <v>92100</v>
          </cell>
          <cell r="B9">
            <v>154549.20000000001</v>
          </cell>
          <cell r="C9">
            <v>181790.48</v>
          </cell>
          <cell r="D9">
            <v>-52647.27</v>
          </cell>
          <cell r="E9">
            <v>94947.77</v>
          </cell>
          <cell r="F9">
            <v>104831.27</v>
          </cell>
          <cell r="G9">
            <v>84803.5</v>
          </cell>
          <cell r="H9">
            <v>80114.16</v>
          </cell>
          <cell r="I9">
            <v>83136.800000000003</v>
          </cell>
          <cell r="J9">
            <v>102074.35</v>
          </cell>
          <cell r="O9" t="str">
            <v>92100</v>
          </cell>
          <cell r="P9">
            <v>154549.20000000001</v>
          </cell>
          <cell r="Q9">
            <v>336339.68000000005</v>
          </cell>
          <cell r="R9">
            <v>283692.41000000003</v>
          </cell>
          <cell r="S9">
            <v>378640.18000000005</v>
          </cell>
          <cell r="T9">
            <v>483471.45000000007</v>
          </cell>
          <cell r="U9">
            <v>568274.95000000007</v>
          </cell>
          <cell r="V9">
            <v>648389.1100000001</v>
          </cell>
          <cell r="W9">
            <v>731525.91000000015</v>
          </cell>
          <cell r="X9">
            <v>833600.26000000013</v>
          </cell>
          <cell r="Y9">
            <v>833600.26000000013</v>
          </cell>
          <cell r="Z9">
            <v>833600.26000000013</v>
          </cell>
          <cell r="AA9">
            <v>833600.26000000013</v>
          </cell>
        </row>
        <row r="10">
          <cell r="A10" t="str">
            <v>92200</v>
          </cell>
          <cell r="B10">
            <v>808138.91</v>
          </cell>
          <cell r="C10">
            <v>978397.38</v>
          </cell>
          <cell r="D10">
            <v>1381144</v>
          </cell>
          <cell r="E10">
            <v>1168586.22</v>
          </cell>
          <cell r="F10">
            <v>373605.36</v>
          </cell>
          <cell r="G10">
            <v>887938.18</v>
          </cell>
          <cell r="H10">
            <v>652326.82999999996</v>
          </cell>
          <cell r="I10">
            <v>485790.25</v>
          </cell>
          <cell r="J10">
            <v>856444.17</v>
          </cell>
          <cell r="O10" t="str">
            <v>92200</v>
          </cell>
          <cell r="P10">
            <v>808138.91</v>
          </cell>
          <cell r="Q10">
            <v>1786536.29</v>
          </cell>
          <cell r="R10">
            <v>3167680.29</v>
          </cell>
          <cell r="S10">
            <v>4336266.51</v>
          </cell>
          <cell r="T10">
            <v>4709871.87</v>
          </cell>
          <cell r="U10">
            <v>5597810.0499999998</v>
          </cell>
          <cell r="V10">
            <v>6250136.8799999999</v>
          </cell>
          <cell r="W10">
            <v>6735927.1299999999</v>
          </cell>
          <cell r="X10">
            <v>7592371.2999999998</v>
          </cell>
          <cell r="Y10">
            <v>7592371.2999999998</v>
          </cell>
          <cell r="Z10">
            <v>7592371.2999999998</v>
          </cell>
          <cell r="AA10">
            <v>7592371.2999999998</v>
          </cell>
        </row>
        <row r="11">
          <cell r="A11" t="str">
            <v>92305</v>
          </cell>
          <cell r="C11">
            <v>813.5</v>
          </cell>
          <cell r="D11">
            <v>-300000</v>
          </cell>
          <cell r="G11">
            <v>2325000</v>
          </cell>
          <cell r="H11">
            <v>1666</v>
          </cell>
          <cell r="O11" t="str">
            <v>92305</v>
          </cell>
          <cell r="P11">
            <v>0</v>
          </cell>
          <cell r="Q11">
            <v>813.5</v>
          </cell>
          <cell r="R11">
            <v>-299186.5</v>
          </cell>
          <cell r="S11">
            <v>-299186.5</v>
          </cell>
          <cell r="T11">
            <v>-299186.5</v>
          </cell>
          <cell r="U11">
            <v>2025813.5</v>
          </cell>
          <cell r="V11">
            <v>2027479.5</v>
          </cell>
          <cell r="W11">
            <v>2027479.5</v>
          </cell>
          <cell r="X11">
            <v>2027479.5</v>
          </cell>
          <cell r="Y11">
            <v>2027479.5</v>
          </cell>
          <cell r="Z11">
            <v>2027479.5</v>
          </cell>
          <cell r="AA11">
            <v>2027479.5</v>
          </cell>
        </row>
        <row r="12">
          <cell r="A12" t="str">
            <v>92310</v>
          </cell>
          <cell r="C12">
            <v>-0.16000000000349246</v>
          </cell>
          <cell r="D12">
            <v>767</v>
          </cell>
          <cell r="H12">
            <v>1153</v>
          </cell>
          <cell r="I12">
            <v>83760</v>
          </cell>
          <cell r="J12">
            <v>34276.18</v>
          </cell>
          <cell r="O12" t="str">
            <v>92310</v>
          </cell>
          <cell r="P12">
            <v>0</v>
          </cell>
          <cell r="Q12">
            <v>-0.16000000000349246</v>
          </cell>
          <cell r="R12">
            <v>766.83999999999651</v>
          </cell>
          <cell r="S12">
            <v>766.83999999999651</v>
          </cell>
          <cell r="T12">
            <v>766.83999999999651</v>
          </cell>
          <cell r="U12">
            <v>766.83999999999651</v>
          </cell>
          <cell r="V12">
            <v>1919.8399999999965</v>
          </cell>
          <cell r="W12">
            <v>85679.84</v>
          </cell>
          <cell r="X12">
            <v>119956.01999999999</v>
          </cell>
          <cell r="Y12">
            <v>119956.01999999999</v>
          </cell>
          <cell r="Z12">
            <v>119956.01999999999</v>
          </cell>
          <cell r="AA12">
            <v>119956.01999999999</v>
          </cell>
        </row>
        <row r="13">
          <cell r="A13" t="str">
            <v>92320</v>
          </cell>
          <cell r="G13">
            <v>767.21</v>
          </cell>
          <cell r="J13">
            <v>32395.7</v>
          </cell>
          <cell r="O13" t="str">
            <v>92320</v>
          </cell>
          <cell r="P13">
            <v>0</v>
          </cell>
          <cell r="Q13">
            <v>0</v>
          </cell>
          <cell r="R13">
            <v>0</v>
          </cell>
          <cell r="S13">
            <v>0</v>
          </cell>
          <cell r="T13">
            <v>0</v>
          </cell>
          <cell r="U13">
            <v>767.21</v>
          </cell>
          <cell r="V13">
            <v>767.21</v>
          </cell>
          <cell r="W13">
            <v>767.21</v>
          </cell>
          <cell r="X13">
            <v>33162.910000000003</v>
          </cell>
          <cell r="Y13">
            <v>33162.910000000003</v>
          </cell>
          <cell r="Z13">
            <v>33162.910000000003</v>
          </cell>
          <cell r="AA13">
            <v>33162.910000000003</v>
          </cell>
        </row>
        <row r="14">
          <cell r="A14" t="str">
            <v>92325</v>
          </cell>
          <cell r="B14">
            <v>2310</v>
          </cell>
          <cell r="C14">
            <v>1970</v>
          </cell>
          <cell r="D14">
            <v>5995.72</v>
          </cell>
          <cell r="E14">
            <v>11770</v>
          </cell>
          <cell r="F14">
            <v>30554</v>
          </cell>
          <cell r="G14">
            <v>44286.95</v>
          </cell>
          <cell r="H14">
            <v>86700</v>
          </cell>
          <cell r="I14">
            <v>162097.73000000001</v>
          </cell>
          <cell r="J14">
            <v>163630.28</v>
          </cell>
          <cell r="O14" t="str">
            <v>92325</v>
          </cell>
          <cell r="P14">
            <v>2310</v>
          </cell>
          <cell r="Q14">
            <v>4280</v>
          </cell>
          <cell r="R14">
            <v>10275.720000000001</v>
          </cell>
          <cell r="S14">
            <v>22045.72</v>
          </cell>
          <cell r="T14">
            <v>52599.72</v>
          </cell>
          <cell r="U14">
            <v>96886.67</v>
          </cell>
          <cell r="V14">
            <v>183586.66999999998</v>
          </cell>
          <cell r="W14">
            <v>345684.4</v>
          </cell>
          <cell r="X14">
            <v>509314.68000000005</v>
          </cell>
          <cell r="Y14">
            <v>509314.68000000005</v>
          </cell>
          <cell r="Z14">
            <v>509314.68000000005</v>
          </cell>
          <cell r="AA14">
            <v>509314.68000000005</v>
          </cell>
        </row>
        <row r="15">
          <cell r="A15" t="str">
            <v>92330</v>
          </cell>
          <cell r="F15">
            <v>1942.25</v>
          </cell>
          <cell r="O15" t="str">
            <v>92330</v>
          </cell>
          <cell r="P15">
            <v>0</v>
          </cell>
          <cell r="Q15">
            <v>0</v>
          </cell>
          <cell r="R15">
            <v>0</v>
          </cell>
          <cell r="S15">
            <v>0</v>
          </cell>
          <cell r="T15">
            <v>1942.25</v>
          </cell>
          <cell r="U15">
            <v>1942.25</v>
          </cell>
          <cell r="V15">
            <v>1942.25</v>
          </cell>
          <cell r="W15">
            <v>1942.25</v>
          </cell>
          <cell r="X15">
            <v>1942.25</v>
          </cell>
          <cell r="Y15">
            <v>1942.25</v>
          </cell>
          <cell r="Z15">
            <v>1942.25</v>
          </cell>
          <cell r="AA15">
            <v>1942.25</v>
          </cell>
        </row>
        <row r="16">
          <cell r="A16" t="str">
            <v>92335</v>
          </cell>
          <cell r="D16">
            <v>55633.68</v>
          </cell>
          <cell r="E16">
            <v>1743.93</v>
          </cell>
          <cell r="O16" t="str">
            <v>92335</v>
          </cell>
          <cell r="P16">
            <v>0</v>
          </cell>
          <cell r="Q16">
            <v>0</v>
          </cell>
          <cell r="R16">
            <v>55633.68</v>
          </cell>
          <cell r="S16">
            <v>57377.61</v>
          </cell>
          <cell r="T16">
            <v>57377.61</v>
          </cell>
          <cell r="U16">
            <v>57377.61</v>
          </cell>
          <cell r="V16">
            <v>57377.61</v>
          </cell>
          <cell r="W16">
            <v>57377.61</v>
          </cell>
          <cell r="X16">
            <v>57377.61</v>
          </cell>
          <cell r="Y16">
            <v>57377.61</v>
          </cell>
          <cell r="Z16">
            <v>57377.61</v>
          </cell>
          <cell r="AA16">
            <v>57377.61</v>
          </cell>
        </row>
        <row r="17">
          <cell r="A17" t="str">
            <v>92340</v>
          </cell>
          <cell r="C17">
            <v>64</v>
          </cell>
          <cell r="O17" t="str">
            <v>92340</v>
          </cell>
          <cell r="P17">
            <v>0</v>
          </cell>
          <cell r="Q17">
            <v>64</v>
          </cell>
          <cell r="R17">
            <v>64</v>
          </cell>
          <cell r="S17">
            <v>64</v>
          </cell>
          <cell r="T17">
            <v>64</v>
          </cell>
          <cell r="U17">
            <v>64</v>
          </cell>
          <cell r="V17">
            <v>64</v>
          </cell>
          <cell r="W17">
            <v>64</v>
          </cell>
          <cell r="X17">
            <v>64</v>
          </cell>
          <cell r="Y17">
            <v>64</v>
          </cell>
          <cell r="Z17">
            <v>64</v>
          </cell>
          <cell r="AA17">
            <v>64</v>
          </cell>
        </row>
        <row r="18">
          <cell r="A18" t="str">
            <v>92350</v>
          </cell>
          <cell r="F18">
            <v>258</v>
          </cell>
          <cell r="G18">
            <v>140</v>
          </cell>
          <cell r="O18" t="str">
            <v>92350</v>
          </cell>
          <cell r="P18">
            <v>0</v>
          </cell>
          <cell r="Q18">
            <v>0</v>
          </cell>
          <cell r="R18">
            <v>0</v>
          </cell>
          <cell r="S18">
            <v>0</v>
          </cell>
          <cell r="T18">
            <v>258</v>
          </cell>
          <cell r="U18">
            <v>398</v>
          </cell>
          <cell r="V18">
            <v>398</v>
          </cell>
          <cell r="W18">
            <v>398</v>
          </cell>
          <cell r="X18">
            <v>398</v>
          </cell>
          <cell r="Y18">
            <v>398</v>
          </cell>
          <cell r="Z18">
            <v>398</v>
          </cell>
          <cell r="AA18">
            <v>398</v>
          </cell>
        </row>
        <row r="19">
          <cell r="A19" t="str">
            <v>92355</v>
          </cell>
          <cell r="C19">
            <v>2995.3499999999767</v>
          </cell>
          <cell r="D19">
            <v>4280.38</v>
          </cell>
          <cell r="E19">
            <v>88460.32</v>
          </cell>
          <cell r="F19">
            <v>22633.599999999999</v>
          </cell>
          <cell r="G19">
            <v>276.91000000000003</v>
          </cell>
          <cell r="H19">
            <v>464.1</v>
          </cell>
          <cell r="O19" t="str">
            <v>92355</v>
          </cell>
          <cell r="P19">
            <v>0</v>
          </cell>
          <cell r="Q19">
            <v>2995.3499999999767</v>
          </cell>
          <cell r="R19">
            <v>7275.7299999999768</v>
          </cell>
          <cell r="S19">
            <v>95736.049999999988</v>
          </cell>
          <cell r="T19">
            <v>118369.65</v>
          </cell>
          <cell r="U19">
            <v>118646.56</v>
          </cell>
          <cell r="V19">
            <v>119110.66</v>
          </cell>
          <cell r="W19">
            <v>119110.66</v>
          </cell>
          <cell r="X19">
            <v>119110.66</v>
          </cell>
          <cell r="Y19">
            <v>119110.66</v>
          </cell>
          <cell r="Z19">
            <v>119110.66</v>
          </cell>
          <cell r="AA19">
            <v>119110.66</v>
          </cell>
        </row>
        <row r="20">
          <cell r="A20" t="str">
            <v>92360</v>
          </cell>
          <cell r="C20">
            <v>784.68</v>
          </cell>
          <cell r="O20" t="str">
            <v>92360</v>
          </cell>
          <cell r="P20">
            <v>0</v>
          </cell>
          <cell r="Q20">
            <v>784.68</v>
          </cell>
          <cell r="R20">
            <v>784.68</v>
          </cell>
          <cell r="S20">
            <v>784.68</v>
          </cell>
          <cell r="T20">
            <v>784.68</v>
          </cell>
          <cell r="U20">
            <v>784.68</v>
          </cell>
          <cell r="V20">
            <v>784.68</v>
          </cell>
          <cell r="W20">
            <v>784.68</v>
          </cell>
          <cell r="X20">
            <v>784.68</v>
          </cell>
          <cell r="Y20">
            <v>784.68</v>
          </cell>
          <cell r="Z20">
            <v>784.68</v>
          </cell>
          <cell r="AA20">
            <v>784.68</v>
          </cell>
        </row>
        <row r="21">
          <cell r="A21" t="str">
            <v>92365</v>
          </cell>
          <cell r="J21">
            <v>0</v>
          </cell>
          <cell r="O21" t="str">
            <v>92365</v>
          </cell>
          <cell r="P21">
            <v>0</v>
          </cell>
          <cell r="Q21">
            <v>0</v>
          </cell>
          <cell r="R21">
            <v>0</v>
          </cell>
          <cell r="S21">
            <v>0</v>
          </cell>
          <cell r="T21">
            <v>0</v>
          </cell>
          <cell r="U21">
            <v>0</v>
          </cell>
          <cell r="V21">
            <v>0</v>
          </cell>
          <cell r="W21">
            <v>0</v>
          </cell>
          <cell r="X21">
            <v>0</v>
          </cell>
          <cell r="Y21">
            <v>0</v>
          </cell>
          <cell r="Z21">
            <v>0</v>
          </cell>
          <cell r="AA21">
            <v>0</v>
          </cell>
        </row>
        <row r="22">
          <cell r="A22" t="str">
            <v>92370</v>
          </cell>
          <cell r="C22">
            <v>5334</v>
          </cell>
          <cell r="D22">
            <v>0</v>
          </cell>
          <cell r="I22">
            <v>406.5</v>
          </cell>
          <cell r="O22" t="str">
            <v>92370</v>
          </cell>
          <cell r="P22">
            <v>0</v>
          </cell>
          <cell r="Q22">
            <v>5334</v>
          </cell>
          <cell r="R22">
            <v>5334</v>
          </cell>
          <cell r="S22">
            <v>5334</v>
          </cell>
          <cell r="T22">
            <v>5334</v>
          </cell>
          <cell r="U22">
            <v>5334</v>
          </cell>
          <cell r="V22">
            <v>5334</v>
          </cell>
          <cell r="W22">
            <v>5740.5</v>
          </cell>
          <cell r="X22">
            <v>5740.5</v>
          </cell>
          <cell r="Y22">
            <v>5740.5</v>
          </cell>
          <cell r="Z22">
            <v>5740.5</v>
          </cell>
          <cell r="AA22">
            <v>5740.5</v>
          </cell>
        </row>
        <row r="23">
          <cell r="A23" t="str">
            <v>92375</v>
          </cell>
          <cell r="C23">
            <v>5069.76</v>
          </cell>
          <cell r="D23">
            <v>863.71</v>
          </cell>
          <cell r="F23">
            <v>4700.6499999999996</v>
          </cell>
          <cell r="H23">
            <v>101.82</v>
          </cell>
          <cell r="O23" t="str">
            <v>92375</v>
          </cell>
          <cell r="P23">
            <v>0</v>
          </cell>
          <cell r="Q23">
            <v>5069.76</v>
          </cell>
          <cell r="R23">
            <v>5933.47</v>
          </cell>
          <cell r="S23">
            <v>5933.47</v>
          </cell>
          <cell r="T23">
            <v>10634.119999999999</v>
          </cell>
          <cell r="U23">
            <v>10634.119999999999</v>
          </cell>
          <cell r="V23">
            <v>10735.939999999999</v>
          </cell>
          <cell r="W23">
            <v>10735.939999999999</v>
          </cell>
          <cell r="X23">
            <v>10735.939999999999</v>
          </cell>
          <cell r="Y23">
            <v>10735.939999999999</v>
          </cell>
          <cell r="Z23">
            <v>10735.939999999999</v>
          </cell>
          <cell r="AA23">
            <v>10735.939999999999</v>
          </cell>
        </row>
        <row r="24">
          <cell r="A24" t="str">
            <v>92387</v>
          </cell>
          <cell r="G24">
            <v>12181.01</v>
          </cell>
          <cell r="J24">
            <v>1330</v>
          </cell>
          <cell r="O24" t="str">
            <v>92387</v>
          </cell>
          <cell r="P24">
            <v>0</v>
          </cell>
          <cell r="Q24">
            <v>0</v>
          </cell>
          <cell r="R24">
            <v>0</v>
          </cell>
          <cell r="S24">
            <v>0</v>
          </cell>
          <cell r="T24">
            <v>0</v>
          </cell>
          <cell r="U24">
            <v>12181.01</v>
          </cell>
          <cell r="V24">
            <v>12181.01</v>
          </cell>
          <cell r="W24">
            <v>12181.01</v>
          </cell>
          <cell r="X24">
            <v>13511.01</v>
          </cell>
          <cell r="Y24">
            <v>13511.01</v>
          </cell>
          <cell r="Z24">
            <v>13511.01</v>
          </cell>
          <cell r="AA24">
            <v>13511.01</v>
          </cell>
        </row>
        <row r="25">
          <cell r="A25" t="str">
            <v>92390</v>
          </cell>
          <cell r="B25">
            <v>67167.44</v>
          </cell>
          <cell r="C25">
            <v>58636.98</v>
          </cell>
          <cell r="D25">
            <v>232738</v>
          </cell>
          <cell r="E25">
            <v>29266.03</v>
          </cell>
          <cell r="F25">
            <v>330.5</v>
          </cell>
          <cell r="H25">
            <v>1764.53</v>
          </cell>
          <cell r="I25">
            <v>87348.58</v>
          </cell>
          <cell r="J25">
            <v>17985.02</v>
          </cell>
          <cell r="O25" t="str">
            <v>92390</v>
          </cell>
          <cell r="P25">
            <v>67167.44</v>
          </cell>
          <cell r="Q25">
            <v>125804.42000000001</v>
          </cell>
          <cell r="R25">
            <v>358542.42000000004</v>
          </cell>
          <cell r="S25">
            <v>387808.45000000007</v>
          </cell>
          <cell r="T25">
            <v>388138.95000000007</v>
          </cell>
          <cell r="U25">
            <v>388138.95000000007</v>
          </cell>
          <cell r="V25">
            <v>389903.4800000001</v>
          </cell>
          <cell r="W25">
            <v>477252.06000000011</v>
          </cell>
          <cell r="X25">
            <v>495237.08000000013</v>
          </cell>
          <cell r="Y25">
            <v>495237.08000000013</v>
          </cell>
          <cell r="Z25">
            <v>495237.08000000013</v>
          </cell>
          <cell r="AA25">
            <v>495237.08000000013</v>
          </cell>
        </row>
        <row r="26">
          <cell r="A26" t="str">
            <v>92395</v>
          </cell>
          <cell r="D26">
            <v>494</v>
          </cell>
          <cell r="E26">
            <v>655.35</v>
          </cell>
          <cell r="H26">
            <v>666.4</v>
          </cell>
          <cell r="O26" t="str">
            <v>92395</v>
          </cell>
          <cell r="P26">
            <v>0</v>
          </cell>
          <cell r="Q26">
            <v>0</v>
          </cell>
          <cell r="R26">
            <v>494</v>
          </cell>
          <cell r="S26">
            <v>1149.3499999999999</v>
          </cell>
          <cell r="T26">
            <v>1149.3499999999999</v>
          </cell>
          <cell r="U26">
            <v>1149.3499999999999</v>
          </cell>
          <cell r="V26">
            <v>1815.75</v>
          </cell>
          <cell r="W26">
            <v>1815.75</v>
          </cell>
          <cell r="X26">
            <v>1815.75</v>
          </cell>
          <cell r="Y26">
            <v>1815.75</v>
          </cell>
          <cell r="Z26">
            <v>1815.75</v>
          </cell>
          <cell r="AA26">
            <v>1815.75</v>
          </cell>
        </row>
        <row r="27">
          <cell r="A27" t="str">
            <v>93000</v>
          </cell>
          <cell r="B27">
            <v>148262.76999999999</v>
          </cell>
          <cell r="C27">
            <v>230750.43</v>
          </cell>
          <cell r="D27">
            <v>250927.11</v>
          </cell>
          <cell r="E27">
            <v>250453.09</v>
          </cell>
          <cell r="F27">
            <v>163469.38</v>
          </cell>
          <cell r="G27">
            <v>218457.27</v>
          </cell>
          <cell r="H27">
            <v>210941.85</v>
          </cell>
          <cell r="I27">
            <v>144187.63</v>
          </cell>
          <cell r="J27">
            <v>221217.87</v>
          </cell>
          <cell r="O27" t="str">
            <v>93000</v>
          </cell>
          <cell r="P27">
            <v>148262.76999999999</v>
          </cell>
          <cell r="Q27">
            <v>379013.19999999995</v>
          </cell>
          <cell r="R27">
            <v>629940.30999999994</v>
          </cell>
          <cell r="S27">
            <v>880393.39999999991</v>
          </cell>
          <cell r="T27">
            <v>1043862.7799999999</v>
          </cell>
          <cell r="U27">
            <v>1262320.0499999998</v>
          </cell>
          <cell r="V27">
            <v>1473261.9</v>
          </cell>
          <cell r="W27">
            <v>1617449.5299999998</v>
          </cell>
          <cell r="X27">
            <v>1838667.4</v>
          </cell>
          <cell r="Y27">
            <v>1838667.4</v>
          </cell>
          <cell r="Z27">
            <v>1838667.4</v>
          </cell>
          <cell r="AA27">
            <v>1838667.4</v>
          </cell>
        </row>
        <row r="28">
          <cell r="A28" t="str">
            <v>93110</v>
          </cell>
          <cell r="B28">
            <v>838111.01</v>
          </cell>
          <cell r="C28">
            <v>-350432.81</v>
          </cell>
          <cell r="D28">
            <v>275632.12</v>
          </cell>
          <cell r="E28">
            <v>316121.59999999998</v>
          </cell>
          <cell r="F28">
            <v>246404.74</v>
          </cell>
          <cell r="G28">
            <v>179780.08</v>
          </cell>
          <cell r="H28">
            <v>179511.45</v>
          </cell>
          <cell r="I28">
            <v>266467.59000000003</v>
          </cell>
          <cell r="J28">
            <v>253212.84</v>
          </cell>
          <cell r="O28" t="str">
            <v>93110</v>
          </cell>
          <cell r="P28">
            <v>838111.01</v>
          </cell>
          <cell r="Q28">
            <v>487678.2</v>
          </cell>
          <cell r="R28">
            <v>763310.32000000007</v>
          </cell>
          <cell r="S28">
            <v>1079431.92</v>
          </cell>
          <cell r="T28">
            <v>1325836.6599999999</v>
          </cell>
          <cell r="U28">
            <v>1505616.74</v>
          </cell>
          <cell r="V28">
            <v>1685128.19</v>
          </cell>
          <cell r="W28">
            <v>1951595.78</v>
          </cell>
          <cell r="X28">
            <v>2204808.62</v>
          </cell>
          <cell r="Y28">
            <v>2204808.62</v>
          </cell>
          <cell r="Z28">
            <v>2204808.62</v>
          </cell>
          <cell r="AA28">
            <v>2204808.62</v>
          </cell>
        </row>
        <row r="29">
          <cell r="A29" t="str">
            <v>93120</v>
          </cell>
          <cell r="B29">
            <v>35616.31</v>
          </cell>
          <cell r="C29">
            <v>437094.41</v>
          </cell>
          <cell r="D29">
            <v>147177.75</v>
          </cell>
          <cell r="E29">
            <v>250063.59</v>
          </cell>
          <cell r="F29">
            <v>234113.01</v>
          </cell>
          <cell r="G29">
            <v>207419.15</v>
          </cell>
          <cell r="H29">
            <v>153930.07999999999</v>
          </cell>
          <cell r="I29">
            <v>281520.03000000003</v>
          </cell>
          <cell r="J29">
            <v>246177.5</v>
          </cell>
          <cell r="O29" t="str">
            <v>93120</v>
          </cell>
          <cell r="P29">
            <v>35616.31</v>
          </cell>
          <cell r="Q29">
            <v>472710.72</v>
          </cell>
          <cell r="R29">
            <v>619888.47</v>
          </cell>
          <cell r="S29">
            <v>869952.05999999994</v>
          </cell>
          <cell r="T29">
            <v>1104065.0699999998</v>
          </cell>
          <cell r="U29">
            <v>1311484.2199999997</v>
          </cell>
          <cell r="V29">
            <v>1465414.2999999998</v>
          </cell>
          <cell r="W29">
            <v>1746934.3299999998</v>
          </cell>
          <cell r="X29">
            <v>1993111.8299999998</v>
          </cell>
          <cell r="Y29">
            <v>1993111.8299999998</v>
          </cell>
          <cell r="Z29">
            <v>1993111.8299999998</v>
          </cell>
          <cell r="AA29">
            <v>1993111.8299999998</v>
          </cell>
        </row>
        <row r="30">
          <cell r="A30" t="str">
            <v>93130</v>
          </cell>
          <cell r="B30">
            <v>402161.65</v>
          </cell>
          <cell r="C30">
            <v>316456.31</v>
          </cell>
          <cell r="D30">
            <v>255215.4</v>
          </cell>
          <cell r="E30">
            <v>331939.51</v>
          </cell>
          <cell r="F30">
            <v>319634.78999999998</v>
          </cell>
          <cell r="G30">
            <v>220350.23</v>
          </cell>
          <cell r="H30">
            <v>217547.94</v>
          </cell>
          <cell r="I30">
            <v>301201.89</v>
          </cell>
          <cell r="J30">
            <v>336939.35</v>
          </cell>
          <cell r="O30" t="str">
            <v>93130</v>
          </cell>
          <cell r="P30">
            <v>402161.65</v>
          </cell>
          <cell r="Q30">
            <v>718617.96</v>
          </cell>
          <cell r="R30">
            <v>973833.36</v>
          </cell>
          <cell r="S30">
            <v>1305772.8700000001</v>
          </cell>
          <cell r="T30">
            <v>1625407.6600000001</v>
          </cell>
          <cell r="U30">
            <v>1845757.8900000001</v>
          </cell>
          <cell r="V30">
            <v>2063305.83</v>
          </cell>
          <cell r="W30">
            <v>2364507.7200000002</v>
          </cell>
          <cell r="X30">
            <v>2701447.0700000003</v>
          </cell>
          <cell r="Y30">
            <v>2701447.0700000003</v>
          </cell>
          <cell r="Z30">
            <v>2701447.0700000003</v>
          </cell>
          <cell r="AA30">
            <v>2701447.0700000003</v>
          </cell>
        </row>
        <row r="31">
          <cell r="A31" t="str">
            <v>93150</v>
          </cell>
          <cell r="B31">
            <v>40482.629999999997</v>
          </cell>
          <cell r="C31">
            <v>174544.55</v>
          </cell>
          <cell r="D31">
            <v>144281.84</v>
          </cell>
          <cell r="E31">
            <v>9173.06</v>
          </cell>
          <cell r="F31">
            <v>107321.3</v>
          </cell>
          <cell r="G31">
            <v>68657.23</v>
          </cell>
          <cell r="H31">
            <v>100005.52</v>
          </cell>
          <cell r="I31">
            <v>120258.91</v>
          </cell>
          <cell r="J31">
            <v>121412.44</v>
          </cell>
          <cell r="O31" t="str">
            <v>93150</v>
          </cell>
          <cell r="P31">
            <v>40482.629999999997</v>
          </cell>
          <cell r="Q31">
            <v>215027.18</v>
          </cell>
          <cell r="R31">
            <v>359309.02</v>
          </cell>
          <cell r="S31">
            <v>368482.08</v>
          </cell>
          <cell r="T31">
            <v>475803.38</v>
          </cell>
          <cell r="U31">
            <v>544460.61</v>
          </cell>
          <cell r="V31">
            <v>644466.13</v>
          </cell>
          <cell r="W31">
            <v>764725.04</v>
          </cell>
          <cell r="X31">
            <v>886137.48</v>
          </cell>
          <cell r="Y31">
            <v>886137.48</v>
          </cell>
          <cell r="Z31">
            <v>886137.48</v>
          </cell>
          <cell r="AA31">
            <v>886137.48</v>
          </cell>
        </row>
        <row r="32">
          <cell r="A32" t="str">
            <v>93200</v>
          </cell>
          <cell r="B32">
            <v>466430.75</v>
          </cell>
          <cell r="C32">
            <v>632403.06999999995</v>
          </cell>
          <cell r="D32">
            <v>534486.89</v>
          </cell>
          <cell r="E32">
            <v>607306.52</v>
          </cell>
          <cell r="F32">
            <v>549195.06999999995</v>
          </cell>
          <cell r="G32">
            <v>462982.16</v>
          </cell>
          <cell r="H32">
            <v>328035.63</v>
          </cell>
          <cell r="I32">
            <v>571094.92000000004</v>
          </cell>
          <cell r="J32">
            <v>615783.69999999995</v>
          </cell>
          <cell r="O32" t="str">
            <v>93200</v>
          </cell>
          <cell r="P32">
            <v>466430.75</v>
          </cell>
          <cell r="Q32">
            <v>1098833.8199999998</v>
          </cell>
          <cell r="R32">
            <v>1633320.71</v>
          </cell>
          <cell r="S32">
            <v>2240627.23</v>
          </cell>
          <cell r="T32">
            <v>2789822.3</v>
          </cell>
          <cell r="U32">
            <v>3252804.46</v>
          </cell>
          <cell r="V32">
            <v>3580840.09</v>
          </cell>
          <cell r="W32">
            <v>4151935.01</v>
          </cell>
          <cell r="X32">
            <v>4767718.71</v>
          </cell>
          <cell r="Y32">
            <v>4767718.71</v>
          </cell>
          <cell r="Z32">
            <v>4767718.71</v>
          </cell>
          <cell r="AA32">
            <v>4767718.71</v>
          </cell>
        </row>
        <row r="33">
          <cell r="A33" t="str">
            <v>93300</v>
          </cell>
          <cell r="B33">
            <v>318087.92</v>
          </cell>
          <cell r="C33">
            <v>399476.15</v>
          </cell>
          <cell r="D33">
            <v>423306.91</v>
          </cell>
          <cell r="E33">
            <v>418291.79</v>
          </cell>
          <cell r="F33">
            <v>353357.96</v>
          </cell>
          <cell r="G33">
            <v>384061.18</v>
          </cell>
          <cell r="H33">
            <v>258426.69</v>
          </cell>
          <cell r="I33">
            <v>385136.55</v>
          </cell>
          <cell r="J33">
            <v>434136.87</v>
          </cell>
          <cell r="O33" t="str">
            <v>93300</v>
          </cell>
          <cell r="P33">
            <v>318087.92</v>
          </cell>
          <cell r="Q33">
            <v>717564.07000000007</v>
          </cell>
          <cell r="R33">
            <v>1140870.98</v>
          </cell>
          <cell r="S33">
            <v>1559162.77</v>
          </cell>
          <cell r="T33">
            <v>1912520.73</v>
          </cell>
          <cell r="U33">
            <v>2296581.91</v>
          </cell>
          <cell r="V33">
            <v>2555008.6</v>
          </cell>
          <cell r="W33">
            <v>2940145.15</v>
          </cell>
          <cell r="X33">
            <v>3374282.02</v>
          </cell>
          <cell r="Y33">
            <v>3374282.02</v>
          </cell>
          <cell r="Z33">
            <v>3374282.02</v>
          </cell>
          <cell r="AA33">
            <v>3374282.02</v>
          </cell>
        </row>
        <row r="34">
          <cell r="A34" t="str">
            <v>93400</v>
          </cell>
          <cell r="B34">
            <v>166675.70000000001</v>
          </cell>
          <cell r="C34">
            <v>884139.99</v>
          </cell>
          <cell r="D34">
            <v>446130.11</v>
          </cell>
          <cell r="E34">
            <v>350469.27</v>
          </cell>
          <cell r="F34">
            <v>414043.75</v>
          </cell>
          <cell r="G34">
            <v>479006.54</v>
          </cell>
          <cell r="H34">
            <v>396794.95</v>
          </cell>
          <cell r="I34">
            <v>494917.31</v>
          </cell>
          <cell r="J34">
            <v>410201.34</v>
          </cell>
          <cell r="O34" t="str">
            <v>93400</v>
          </cell>
          <cell r="P34">
            <v>166675.70000000001</v>
          </cell>
          <cell r="Q34">
            <v>1050815.69</v>
          </cell>
          <cell r="R34">
            <v>1496945.7999999998</v>
          </cell>
          <cell r="S34">
            <v>1847415.0699999998</v>
          </cell>
          <cell r="T34">
            <v>2261458.8199999998</v>
          </cell>
          <cell r="U34">
            <v>2740465.36</v>
          </cell>
          <cell r="V34">
            <v>3137260.31</v>
          </cell>
          <cell r="W34">
            <v>3632177.62</v>
          </cell>
          <cell r="X34">
            <v>4042378.96</v>
          </cell>
          <cell r="Y34">
            <v>4042378.96</v>
          </cell>
          <cell r="Z34">
            <v>4042378.96</v>
          </cell>
          <cell r="AA34">
            <v>4042378.96</v>
          </cell>
        </row>
        <row r="35">
          <cell r="A35" t="str">
            <v>93500</v>
          </cell>
          <cell r="B35">
            <v>574802.68000000005</v>
          </cell>
          <cell r="C35">
            <v>56956.49</v>
          </cell>
          <cell r="D35">
            <v>187665.51</v>
          </cell>
          <cell r="E35">
            <v>448583.7</v>
          </cell>
          <cell r="F35">
            <v>967807.07</v>
          </cell>
          <cell r="G35">
            <v>86891.040000000066</v>
          </cell>
          <cell r="H35">
            <v>980962.6</v>
          </cell>
          <cell r="I35">
            <v>473239.34</v>
          </cell>
          <cell r="J35">
            <v>544567.19999999995</v>
          </cell>
          <cell r="O35" t="str">
            <v>93500</v>
          </cell>
          <cell r="P35">
            <v>574802.68000000005</v>
          </cell>
          <cell r="Q35">
            <v>631759.17000000004</v>
          </cell>
          <cell r="R35">
            <v>819424.68</v>
          </cell>
          <cell r="S35">
            <v>1268008.3800000001</v>
          </cell>
          <cell r="T35">
            <v>2235815.4500000002</v>
          </cell>
          <cell r="U35">
            <v>2322706.4900000002</v>
          </cell>
          <cell r="V35">
            <v>3303669.0900000003</v>
          </cell>
          <cell r="W35">
            <v>3776908.43</v>
          </cell>
          <cell r="X35">
            <v>4321475.63</v>
          </cell>
          <cell r="Y35">
            <v>4321475.63</v>
          </cell>
          <cell r="Z35">
            <v>4321475.63</v>
          </cell>
          <cell r="AA35">
            <v>4321475.63</v>
          </cell>
        </row>
        <row r="36">
          <cell r="A36" t="str">
            <v>93550</v>
          </cell>
          <cell r="B36">
            <v>775470.37</v>
          </cell>
          <cell r="C36">
            <v>660106.03</v>
          </cell>
          <cell r="D36">
            <v>677748.4</v>
          </cell>
          <cell r="E36">
            <v>801176.83</v>
          </cell>
          <cell r="F36">
            <v>735927.51</v>
          </cell>
          <cell r="G36">
            <v>547091.32999999996</v>
          </cell>
          <cell r="H36">
            <v>858161.08</v>
          </cell>
          <cell r="I36">
            <v>625363.65</v>
          </cell>
          <cell r="J36">
            <v>715900.49</v>
          </cell>
          <cell r="O36" t="str">
            <v>93550</v>
          </cell>
          <cell r="P36">
            <v>775470.37</v>
          </cell>
          <cell r="Q36">
            <v>1435576.4</v>
          </cell>
          <cell r="R36">
            <v>2113324.7999999998</v>
          </cell>
          <cell r="S36">
            <v>2914501.63</v>
          </cell>
          <cell r="T36">
            <v>3650429.1399999997</v>
          </cell>
          <cell r="U36">
            <v>4197520.47</v>
          </cell>
          <cell r="V36">
            <v>5055681.55</v>
          </cell>
          <cell r="W36">
            <v>5681045.2000000002</v>
          </cell>
          <cell r="X36">
            <v>6396945.6900000004</v>
          </cell>
          <cell r="Y36">
            <v>6396945.6900000004</v>
          </cell>
          <cell r="Z36">
            <v>6396945.6900000004</v>
          </cell>
          <cell r="AA36">
            <v>6396945.6900000004</v>
          </cell>
        </row>
        <row r="37">
          <cell r="A37" t="str">
            <v>93600</v>
          </cell>
          <cell r="B37">
            <v>1218911.99</v>
          </cell>
          <cell r="C37">
            <v>1194422.7</v>
          </cell>
          <cell r="D37">
            <v>1061550.6100000001</v>
          </cell>
          <cell r="E37">
            <v>1060979.99</v>
          </cell>
          <cell r="F37">
            <v>1203023.8600000001</v>
          </cell>
          <cell r="G37">
            <v>1165314.1499999999</v>
          </cell>
          <cell r="H37">
            <v>1165579.3899999999</v>
          </cell>
          <cell r="I37">
            <v>1294197.93</v>
          </cell>
          <cell r="J37">
            <v>1133771.8</v>
          </cell>
          <cell r="O37" t="str">
            <v>93600</v>
          </cell>
          <cell r="P37">
            <v>1218911.99</v>
          </cell>
          <cell r="Q37">
            <v>2413334.69</v>
          </cell>
          <cell r="R37">
            <v>3474885.3</v>
          </cell>
          <cell r="S37">
            <v>4535865.29</v>
          </cell>
          <cell r="T37">
            <v>5738889.1500000004</v>
          </cell>
          <cell r="U37">
            <v>6904203.3000000007</v>
          </cell>
          <cell r="V37">
            <v>8069782.6900000004</v>
          </cell>
          <cell r="W37">
            <v>9363980.620000001</v>
          </cell>
          <cell r="X37">
            <v>10497752.420000002</v>
          </cell>
          <cell r="Y37">
            <v>10497752.420000002</v>
          </cell>
          <cell r="Z37">
            <v>10497752.420000002</v>
          </cell>
          <cell r="AA37">
            <v>10497752.420000002</v>
          </cell>
        </row>
        <row r="38">
          <cell r="A38" t="str">
            <v>93650</v>
          </cell>
          <cell r="B38">
            <v>2358279.0499999998</v>
          </cell>
          <cell r="C38">
            <v>1683877.04</v>
          </cell>
          <cell r="D38">
            <v>2202545.4700000002</v>
          </cell>
          <cell r="E38">
            <v>2226436.61</v>
          </cell>
          <cell r="F38">
            <v>1716917.06</v>
          </cell>
          <cell r="G38">
            <v>3140712.33</v>
          </cell>
          <cell r="H38">
            <v>2456515.4700000002</v>
          </cell>
          <cell r="I38">
            <v>2209956.81</v>
          </cell>
          <cell r="J38">
            <v>5419539.0000000019</v>
          </cell>
          <cell r="O38" t="str">
            <v>93650</v>
          </cell>
          <cell r="P38">
            <v>2358279.0499999998</v>
          </cell>
          <cell r="Q38">
            <v>4042156.09</v>
          </cell>
          <cell r="R38">
            <v>6244701.5600000005</v>
          </cell>
          <cell r="S38">
            <v>8471138.1699999999</v>
          </cell>
          <cell r="T38">
            <v>10188055.23</v>
          </cell>
          <cell r="U38">
            <v>13328767.560000001</v>
          </cell>
          <cell r="V38">
            <v>15785283.030000001</v>
          </cell>
          <cell r="W38">
            <v>17995239.84</v>
          </cell>
          <cell r="X38">
            <v>23414778.840000004</v>
          </cell>
          <cell r="Y38">
            <v>23414778.840000004</v>
          </cell>
          <cell r="Z38">
            <v>23414778.840000004</v>
          </cell>
          <cell r="AA38">
            <v>23414778.840000004</v>
          </cell>
        </row>
        <row r="39">
          <cell r="A39" t="str">
            <v>93700</v>
          </cell>
          <cell r="B39">
            <v>727319.35</v>
          </cell>
          <cell r="C39">
            <v>438319.41</v>
          </cell>
          <cell r="D39">
            <v>780954.1</v>
          </cell>
          <cell r="E39">
            <v>671152.48</v>
          </cell>
          <cell r="F39">
            <v>670773.32999999996</v>
          </cell>
          <cell r="G39">
            <v>669424.89</v>
          </cell>
          <cell r="H39">
            <v>532002.03</v>
          </cell>
          <cell r="I39">
            <v>598141.31000000006</v>
          </cell>
          <cell r="J39">
            <v>678485.71</v>
          </cell>
          <cell r="O39" t="str">
            <v>93700</v>
          </cell>
          <cell r="P39">
            <v>727319.35</v>
          </cell>
          <cell r="Q39">
            <v>1165638.76</v>
          </cell>
          <cell r="R39">
            <v>1946592.8599999999</v>
          </cell>
          <cell r="S39">
            <v>2617745.34</v>
          </cell>
          <cell r="T39">
            <v>3288518.67</v>
          </cell>
          <cell r="U39">
            <v>3957943.56</v>
          </cell>
          <cell r="V39">
            <v>4489945.59</v>
          </cell>
          <cell r="W39">
            <v>5088086.9000000004</v>
          </cell>
          <cell r="X39">
            <v>5766572.6100000003</v>
          </cell>
          <cell r="Y39">
            <v>5766572.6100000003</v>
          </cell>
          <cell r="Z39">
            <v>5766572.6100000003</v>
          </cell>
          <cell r="AA39">
            <v>5766572.6100000003</v>
          </cell>
        </row>
        <row r="40">
          <cell r="A40" t="str">
            <v>93750</v>
          </cell>
          <cell r="B40">
            <v>1111973.77</v>
          </cell>
          <cell r="C40">
            <v>1498143.25</v>
          </cell>
          <cell r="D40">
            <v>999781.04</v>
          </cell>
          <cell r="E40">
            <v>1300780.54</v>
          </cell>
          <cell r="F40">
            <v>1240287.68</v>
          </cell>
          <cell r="G40">
            <v>1044857.09</v>
          </cell>
          <cell r="H40">
            <v>944630.37</v>
          </cell>
          <cell r="I40">
            <v>1405966.99</v>
          </cell>
          <cell r="J40">
            <v>1240348.3400000001</v>
          </cell>
          <cell r="O40" t="str">
            <v>93750</v>
          </cell>
          <cell r="P40">
            <v>1111973.77</v>
          </cell>
          <cell r="Q40">
            <v>2610117.02</v>
          </cell>
          <cell r="R40">
            <v>3609898.06</v>
          </cell>
          <cell r="S40">
            <v>4910678.5999999996</v>
          </cell>
          <cell r="T40">
            <v>6150966.2799999993</v>
          </cell>
          <cell r="U40">
            <v>7195823.3699999992</v>
          </cell>
          <cell r="V40">
            <v>8140453.7399999993</v>
          </cell>
          <cell r="W40">
            <v>9546420.7299999986</v>
          </cell>
          <cell r="X40">
            <v>10786769.069999998</v>
          </cell>
          <cell r="Y40">
            <v>10786769.069999998</v>
          </cell>
          <cell r="Z40">
            <v>10786769.069999998</v>
          </cell>
          <cell r="AA40">
            <v>10786769.069999998</v>
          </cell>
        </row>
        <row r="41">
          <cell r="A41" t="str">
            <v>93755</v>
          </cell>
          <cell r="E41">
            <v>511881.91</v>
          </cell>
          <cell r="F41">
            <v>368461.5</v>
          </cell>
          <cell r="G41">
            <v>360739.09</v>
          </cell>
          <cell r="H41">
            <v>307714.59999999998</v>
          </cell>
          <cell r="I41">
            <v>450936.79</v>
          </cell>
          <cell r="J41">
            <v>539852.43000000005</v>
          </cell>
          <cell r="O41" t="str">
            <v>93755</v>
          </cell>
          <cell r="P41">
            <v>0</v>
          </cell>
          <cell r="Q41">
            <v>0</v>
          </cell>
          <cell r="R41">
            <v>0</v>
          </cell>
          <cell r="S41">
            <v>511881.91</v>
          </cell>
          <cell r="T41">
            <v>880343.40999999992</v>
          </cell>
          <cell r="U41">
            <v>1241082.5</v>
          </cell>
          <cell r="V41">
            <v>1548797.1</v>
          </cell>
          <cell r="W41">
            <v>1999733.8900000001</v>
          </cell>
          <cell r="X41">
            <v>2539586.3200000003</v>
          </cell>
          <cell r="Y41">
            <v>2539586.3200000003</v>
          </cell>
          <cell r="Z41">
            <v>2539586.3200000003</v>
          </cell>
          <cell r="AA41">
            <v>2539586.3200000003</v>
          </cell>
        </row>
        <row r="42">
          <cell r="A42" t="str">
            <v>93800</v>
          </cell>
          <cell r="B42">
            <v>572866.98</v>
          </cell>
          <cell r="C42">
            <v>1369316.31</v>
          </cell>
          <cell r="D42">
            <v>758405.56</v>
          </cell>
          <cell r="E42">
            <v>1106107.7</v>
          </cell>
          <cell r="F42">
            <v>638145.28000000003</v>
          </cell>
          <cell r="G42">
            <v>715703.27</v>
          </cell>
          <cell r="H42">
            <v>474723</v>
          </cell>
          <cell r="I42">
            <v>821912.5</v>
          </cell>
          <cell r="J42">
            <v>598235.06000000006</v>
          </cell>
          <cell r="O42" t="str">
            <v>93800</v>
          </cell>
          <cell r="P42">
            <v>572866.98</v>
          </cell>
          <cell r="Q42">
            <v>1942183.29</v>
          </cell>
          <cell r="R42">
            <v>2700588.85</v>
          </cell>
          <cell r="S42">
            <v>3806696.55</v>
          </cell>
          <cell r="T42">
            <v>4444841.83</v>
          </cell>
          <cell r="U42">
            <v>5160545.0999999996</v>
          </cell>
          <cell r="V42">
            <v>5635268.0999999996</v>
          </cell>
          <cell r="W42">
            <v>6457180.5999999996</v>
          </cell>
          <cell r="X42">
            <v>7055415.6600000001</v>
          </cell>
          <cell r="Y42">
            <v>7055415.6600000001</v>
          </cell>
          <cell r="Z42">
            <v>7055415.6600000001</v>
          </cell>
          <cell r="AA42">
            <v>7055415.6600000001</v>
          </cell>
        </row>
        <row r="43">
          <cell r="A43" t="str">
            <v>93850</v>
          </cell>
          <cell r="B43">
            <v>759733.8</v>
          </cell>
          <cell r="C43">
            <v>800381.13</v>
          </cell>
          <cell r="D43">
            <v>750862.33</v>
          </cell>
          <cell r="E43">
            <v>645342.57999999996</v>
          </cell>
          <cell r="F43">
            <v>740134.77</v>
          </cell>
          <cell r="G43">
            <v>622517.11</v>
          </cell>
          <cell r="H43">
            <v>602597.02</v>
          </cell>
          <cell r="I43">
            <v>633334.91</v>
          </cell>
          <cell r="J43">
            <v>553335.21</v>
          </cell>
          <cell r="O43" t="str">
            <v>93850</v>
          </cell>
          <cell r="P43">
            <v>759733.8</v>
          </cell>
          <cell r="Q43">
            <v>1560114.9300000002</v>
          </cell>
          <cell r="R43">
            <v>2310977.2600000002</v>
          </cell>
          <cell r="S43">
            <v>2956319.8400000003</v>
          </cell>
          <cell r="T43">
            <v>3696454.6100000003</v>
          </cell>
          <cell r="U43">
            <v>4318971.7200000007</v>
          </cell>
          <cell r="V43">
            <v>4921568.74</v>
          </cell>
          <cell r="W43">
            <v>5554903.6500000004</v>
          </cell>
          <cell r="X43">
            <v>6108238.8600000003</v>
          </cell>
          <cell r="Y43">
            <v>6108238.8600000003</v>
          </cell>
          <cell r="Z43">
            <v>6108238.8600000003</v>
          </cell>
          <cell r="AA43">
            <v>6108238.8600000003</v>
          </cell>
        </row>
        <row r="44">
          <cell r="A44" t="str">
            <v>93900</v>
          </cell>
          <cell r="B44">
            <v>197200.52</v>
          </cell>
          <cell r="C44">
            <v>149903.72</v>
          </cell>
          <cell r="D44">
            <v>139839.48000000001</v>
          </cell>
          <cell r="E44">
            <v>172218.21</v>
          </cell>
          <cell r="F44">
            <v>196478.18</v>
          </cell>
          <cell r="G44">
            <v>168157.74</v>
          </cell>
          <cell r="H44">
            <v>184461.13</v>
          </cell>
          <cell r="I44">
            <v>183368.55</v>
          </cell>
          <cell r="J44">
            <v>102828.86</v>
          </cell>
          <cell r="O44" t="str">
            <v>93900</v>
          </cell>
          <cell r="P44">
            <v>197200.52</v>
          </cell>
          <cell r="Q44">
            <v>347104.24</v>
          </cell>
          <cell r="R44">
            <v>486943.72</v>
          </cell>
          <cell r="S44">
            <v>659161.92999999993</v>
          </cell>
          <cell r="T44">
            <v>855640.10999999987</v>
          </cell>
          <cell r="U44">
            <v>1023797.8499999999</v>
          </cell>
          <cell r="V44">
            <v>1208258.98</v>
          </cell>
          <cell r="W44">
            <v>1391627.53</v>
          </cell>
          <cell r="X44">
            <v>1494456.3900000001</v>
          </cell>
          <cell r="Y44">
            <v>1494456.3900000001</v>
          </cell>
          <cell r="Z44">
            <v>1494456.3900000001</v>
          </cell>
          <cell r="AA44">
            <v>1494456.3900000001</v>
          </cell>
        </row>
        <row r="45">
          <cell r="A45" t="str">
            <v>93910</v>
          </cell>
          <cell r="B45">
            <v>463042.39</v>
          </cell>
          <cell r="C45">
            <v>739315.9</v>
          </cell>
          <cell r="D45">
            <v>624629.06000000006</v>
          </cell>
          <cell r="E45">
            <v>515284.52</v>
          </cell>
          <cell r="F45">
            <v>647018.17000000004</v>
          </cell>
          <cell r="G45">
            <v>701803.98</v>
          </cell>
          <cell r="H45">
            <v>607567.79</v>
          </cell>
          <cell r="I45">
            <v>596272.54</v>
          </cell>
          <cell r="J45">
            <v>510434.79</v>
          </cell>
          <cell r="O45" t="str">
            <v>93910</v>
          </cell>
          <cell r="P45">
            <v>463042.39</v>
          </cell>
          <cell r="Q45">
            <v>1202358.29</v>
          </cell>
          <cell r="R45">
            <v>1826987.35</v>
          </cell>
          <cell r="S45">
            <v>2342271.87</v>
          </cell>
          <cell r="T45">
            <v>2989290.04</v>
          </cell>
          <cell r="U45">
            <v>3691094.02</v>
          </cell>
          <cell r="V45">
            <v>4298661.8100000005</v>
          </cell>
          <cell r="W45">
            <v>4894934.3500000006</v>
          </cell>
          <cell r="X45">
            <v>5405369.1400000006</v>
          </cell>
          <cell r="Y45">
            <v>5405369.1400000006</v>
          </cell>
          <cell r="Z45">
            <v>5405369.1400000006</v>
          </cell>
          <cell r="AA45">
            <v>5405369.1400000006</v>
          </cell>
        </row>
        <row r="46">
          <cell r="A46" t="str">
            <v>93920</v>
          </cell>
          <cell r="B46">
            <v>1083120.26</v>
          </cell>
          <cell r="C46">
            <v>375386.28</v>
          </cell>
          <cell r="D46">
            <v>227947.08</v>
          </cell>
          <cell r="E46">
            <v>682570.17</v>
          </cell>
          <cell r="F46">
            <v>622381.71</v>
          </cell>
          <cell r="G46">
            <v>587426.86</v>
          </cell>
          <cell r="H46">
            <v>1097771.8500000001</v>
          </cell>
          <cell r="I46">
            <v>557018.4</v>
          </cell>
          <cell r="J46">
            <v>1241134.95</v>
          </cell>
          <cell r="O46" t="str">
            <v>93920</v>
          </cell>
          <cell r="P46">
            <v>1083120.26</v>
          </cell>
          <cell r="Q46">
            <v>1458506.54</v>
          </cell>
          <cell r="R46">
            <v>1686453.62</v>
          </cell>
          <cell r="S46">
            <v>2369023.79</v>
          </cell>
          <cell r="T46">
            <v>2991405.5</v>
          </cell>
          <cell r="U46">
            <v>3578832.36</v>
          </cell>
          <cell r="V46">
            <v>4676604.21</v>
          </cell>
          <cell r="W46">
            <v>5233622.6100000003</v>
          </cell>
          <cell r="X46">
            <v>6474757.5600000005</v>
          </cell>
          <cell r="Y46">
            <v>6474757.5600000005</v>
          </cell>
          <cell r="Z46">
            <v>6474757.5600000005</v>
          </cell>
          <cell r="AA46">
            <v>6474757.5600000005</v>
          </cell>
        </row>
        <row r="47">
          <cell r="A47" t="str">
            <v>93930</v>
          </cell>
          <cell r="B47">
            <v>503253.07</v>
          </cell>
          <cell r="C47">
            <v>649279.89</v>
          </cell>
          <cell r="D47">
            <v>173137.34</v>
          </cell>
          <cell r="E47">
            <v>723989.02</v>
          </cell>
          <cell r="F47">
            <v>392686.9</v>
          </cell>
          <cell r="G47">
            <v>581295.93999999994</v>
          </cell>
          <cell r="H47">
            <v>565798.24</v>
          </cell>
          <cell r="I47">
            <v>501445.91</v>
          </cell>
          <cell r="J47">
            <v>572687</v>
          </cell>
          <cell r="O47" t="str">
            <v>93930</v>
          </cell>
          <cell r="P47">
            <v>503253.07</v>
          </cell>
          <cell r="Q47">
            <v>1152532.96</v>
          </cell>
          <cell r="R47">
            <v>1325670.3</v>
          </cell>
          <cell r="S47">
            <v>2049659.32</v>
          </cell>
          <cell r="T47">
            <v>2442346.2200000002</v>
          </cell>
          <cell r="U47">
            <v>3023642.16</v>
          </cell>
          <cell r="V47">
            <v>3589440.4000000004</v>
          </cell>
          <cell r="W47">
            <v>4090886.3100000005</v>
          </cell>
          <cell r="X47">
            <v>4663573.3100000005</v>
          </cell>
          <cell r="Y47">
            <v>4663573.3100000005</v>
          </cell>
          <cell r="Z47">
            <v>4663573.3100000005</v>
          </cell>
          <cell r="AA47">
            <v>4663573.3100000005</v>
          </cell>
        </row>
        <row r="48">
          <cell r="A48" t="str">
            <v>93940</v>
          </cell>
          <cell r="B48">
            <v>252585.82</v>
          </cell>
          <cell r="C48">
            <v>411386.43</v>
          </cell>
          <cell r="D48">
            <v>258155.07</v>
          </cell>
          <cell r="E48">
            <v>292729.99</v>
          </cell>
          <cell r="F48">
            <v>345405.52</v>
          </cell>
          <cell r="G48">
            <v>333705.39</v>
          </cell>
          <cell r="H48">
            <v>274337.63</v>
          </cell>
          <cell r="I48">
            <v>295643.25</v>
          </cell>
          <cell r="J48">
            <v>308278.09000000003</v>
          </cell>
          <cell r="O48" t="str">
            <v>93940</v>
          </cell>
          <cell r="P48">
            <v>252585.82</v>
          </cell>
          <cell r="Q48">
            <v>663972.25</v>
          </cell>
          <cell r="R48">
            <v>922127.32000000007</v>
          </cell>
          <cell r="S48">
            <v>1214857.31</v>
          </cell>
          <cell r="T48">
            <v>1560262.83</v>
          </cell>
          <cell r="U48">
            <v>1893968.2200000002</v>
          </cell>
          <cell r="V48">
            <v>2168305.85</v>
          </cell>
          <cell r="W48">
            <v>2463949.1</v>
          </cell>
          <cell r="X48">
            <v>2772227.19</v>
          </cell>
          <cell r="Y48">
            <v>2772227.19</v>
          </cell>
          <cell r="Z48">
            <v>2772227.19</v>
          </cell>
          <cell r="AA48">
            <v>2772227.19</v>
          </cell>
        </row>
        <row r="49">
          <cell r="A49" t="str">
            <v>93950</v>
          </cell>
          <cell r="B49">
            <v>538864.72</v>
          </cell>
          <cell r="C49">
            <v>456766.91</v>
          </cell>
          <cell r="D49">
            <v>678204.88</v>
          </cell>
          <cell r="E49">
            <v>262510.24</v>
          </cell>
          <cell r="F49">
            <v>240521.89</v>
          </cell>
          <cell r="G49">
            <v>375490.56</v>
          </cell>
          <cell r="H49">
            <v>374488.03</v>
          </cell>
          <cell r="I49">
            <v>434291.88</v>
          </cell>
          <cell r="J49">
            <v>327398.58</v>
          </cell>
          <cell r="O49" t="str">
            <v>93950</v>
          </cell>
          <cell r="P49">
            <v>538864.72</v>
          </cell>
          <cell r="Q49">
            <v>995631.62999999989</v>
          </cell>
          <cell r="R49">
            <v>1673836.5099999998</v>
          </cell>
          <cell r="S49">
            <v>1936346.7499999998</v>
          </cell>
          <cell r="T49">
            <v>2176868.6399999997</v>
          </cell>
          <cell r="U49">
            <v>2552359.1999999997</v>
          </cell>
          <cell r="V49">
            <v>2926847.2299999995</v>
          </cell>
          <cell r="W49">
            <v>3361139.1099999994</v>
          </cell>
          <cell r="X49">
            <v>3688537.6899999995</v>
          </cell>
          <cell r="Y49">
            <v>3688537.6899999995</v>
          </cell>
          <cell r="Z49">
            <v>3688537.6899999995</v>
          </cell>
          <cell r="AA49">
            <v>3688537.6899999995</v>
          </cell>
        </row>
        <row r="50">
          <cell r="A50" t="str">
            <v>92345</v>
          </cell>
          <cell r="J50">
            <v>10595</v>
          </cell>
          <cell r="O50" t="str">
            <v>92345</v>
          </cell>
          <cell r="P50">
            <v>0</v>
          </cell>
          <cell r="Q50">
            <v>0</v>
          </cell>
          <cell r="R50">
            <v>0</v>
          </cell>
          <cell r="S50">
            <v>0</v>
          </cell>
          <cell r="T50">
            <v>0</v>
          </cell>
          <cell r="U50">
            <v>0</v>
          </cell>
          <cell r="V50">
            <v>0</v>
          </cell>
          <cell r="W50">
            <v>0</v>
          </cell>
          <cell r="X50">
            <v>10595</v>
          </cell>
          <cell r="Y50">
            <v>10595</v>
          </cell>
          <cell r="Z50">
            <v>10595</v>
          </cell>
          <cell r="AA50">
            <v>10595</v>
          </cell>
        </row>
        <row r="51">
          <cell r="A51" t="str">
            <v>92356</v>
          </cell>
          <cell r="I51">
            <v>2011.79</v>
          </cell>
          <cell r="J51">
            <v>-105.85</v>
          </cell>
          <cell r="O51" t="str">
            <v>92356</v>
          </cell>
          <cell r="P51">
            <v>0</v>
          </cell>
          <cell r="Q51">
            <v>0</v>
          </cell>
          <cell r="R51">
            <v>0</v>
          </cell>
          <cell r="S51">
            <v>0</v>
          </cell>
          <cell r="T51">
            <v>0</v>
          </cell>
          <cell r="U51">
            <v>0</v>
          </cell>
          <cell r="V51">
            <v>0</v>
          </cell>
          <cell r="W51">
            <v>2011.79</v>
          </cell>
          <cell r="X51">
            <v>1905.94</v>
          </cell>
          <cell r="Y51">
            <v>1905.94</v>
          </cell>
          <cell r="Z51">
            <v>1905.94</v>
          </cell>
          <cell r="AA51">
            <v>1905.94</v>
          </cell>
        </row>
        <row r="52">
          <cell r="A52" t="str">
            <v>92394</v>
          </cell>
          <cell r="J52">
            <v>2261.09</v>
          </cell>
          <cell r="O52" t="str">
            <v>92394</v>
          </cell>
          <cell r="P52">
            <v>0</v>
          </cell>
          <cell r="Q52">
            <v>0</v>
          </cell>
          <cell r="R52">
            <v>0</v>
          </cell>
          <cell r="S52">
            <v>0</v>
          </cell>
          <cell r="T52">
            <v>0</v>
          </cell>
          <cell r="U52">
            <v>0</v>
          </cell>
          <cell r="V52">
            <v>0</v>
          </cell>
          <cell r="W52">
            <v>0</v>
          </cell>
          <cell r="X52">
            <v>2261.09</v>
          </cell>
          <cell r="Y52">
            <v>2261.09</v>
          </cell>
          <cell r="Z52">
            <v>2261.09</v>
          </cell>
          <cell r="AA52">
            <v>2261.09</v>
          </cell>
        </row>
        <row r="53">
          <cell r="O53" t="str">
            <v>Totalt</v>
          </cell>
          <cell r="P53">
            <v>15158173.500000002</v>
          </cell>
          <cell r="Q53">
            <v>30240132.810000002</v>
          </cell>
          <cell r="R53">
            <v>44023400.440000005</v>
          </cell>
          <cell r="S53">
            <v>60007732.700000003</v>
          </cell>
          <cell r="T53">
            <v>74873996.210000008</v>
          </cell>
          <cell r="U53">
            <v>92908293.300000012</v>
          </cell>
          <cell r="V53">
            <v>107912361.93000001</v>
          </cell>
          <cell r="W53">
            <v>123948291.04000001</v>
          </cell>
          <cell r="X53">
            <v>143766527.56</v>
          </cell>
          <cell r="Y53">
            <v>143766527.56</v>
          </cell>
          <cell r="Z53">
            <v>143766527.56</v>
          </cell>
          <cell r="AA53">
            <v>143766527.56</v>
          </cell>
        </row>
        <row r="54">
          <cell r="O54">
            <v>0</v>
          </cell>
          <cell r="P54">
            <v>0</v>
          </cell>
          <cell r="Q54">
            <v>0</v>
          </cell>
          <cell r="R54">
            <v>0</v>
          </cell>
          <cell r="S54">
            <v>0</v>
          </cell>
          <cell r="T54">
            <v>0</v>
          </cell>
          <cell r="U54">
            <v>0</v>
          </cell>
          <cell r="V54">
            <v>0</v>
          </cell>
          <cell r="W54">
            <v>0</v>
          </cell>
          <cell r="X54">
            <v>0</v>
          </cell>
          <cell r="Y54">
            <v>0</v>
          </cell>
          <cell r="Z54">
            <v>0</v>
          </cell>
          <cell r="AA54">
            <v>0</v>
          </cell>
        </row>
        <row r="55">
          <cell r="O55">
            <v>0</v>
          </cell>
          <cell r="P55">
            <v>0</v>
          </cell>
          <cell r="Q55">
            <v>0</v>
          </cell>
          <cell r="R55">
            <v>0</v>
          </cell>
          <cell r="S55">
            <v>0</v>
          </cell>
          <cell r="T55">
            <v>0</v>
          </cell>
          <cell r="U55">
            <v>0</v>
          </cell>
          <cell r="V55">
            <v>0</v>
          </cell>
          <cell r="W55">
            <v>0</v>
          </cell>
          <cell r="X55">
            <v>0</v>
          </cell>
          <cell r="Y55">
            <v>0</v>
          </cell>
          <cell r="Z55">
            <v>0</v>
          </cell>
          <cell r="AA55">
            <v>0</v>
          </cell>
        </row>
        <row r="56">
          <cell r="O56">
            <v>0</v>
          </cell>
          <cell r="P56">
            <v>0</v>
          </cell>
          <cell r="Q56">
            <v>0</v>
          </cell>
          <cell r="R56">
            <v>0</v>
          </cell>
          <cell r="S56">
            <v>0</v>
          </cell>
          <cell r="T56">
            <v>0</v>
          </cell>
          <cell r="U56">
            <v>0</v>
          </cell>
          <cell r="V56">
            <v>0</v>
          </cell>
          <cell r="W56">
            <v>0</v>
          </cell>
          <cell r="X56">
            <v>0</v>
          </cell>
          <cell r="Y56">
            <v>0</v>
          </cell>
          <cell r="Z56">
            <v>0</v>
          </cell>
          <cell r="AA56">
            <v>0</v>
          </cell>
        </row>
        <row r="57">
          <cell r="O57">
            <v>0</v>
          </cell>
          <cell r="P57">
            <v>0</v>
          </cell>
          <cell r="Q57">
            <v>0</v>
          </cell>
          <cell r="R57">
            <v>0</v>
          </cell>
          <cell r="S57">
            <v>0</v>
          </cell>
          <cell r="T57">
            <v>0</v>
          </cell>
          <cell r="U57">
            <v>0</v>
          </cell>
          <cell r="V57">
            <v>0</v>
          </cell>
          <cell r="W57">
            <v>0</v>
          </cell>
          <cell r="X57">
            <v>0</v>
          </cell>
          <cell r="Y57">
            <v>0</v>
          </cell>
          <cell r="Z57">
            <v>0</v>
          </cell>
          <cell r="AA57">
            <v>0</v>
          </cell>
        </row>
        <row r="58">
          <cell r="O58">
            <v>0</v>
          </cell>
          <cell r="P58">
            <v>0</v>
          </cell>
          <cell r="Q58">
            <v>0</v>
          </cell>
          <cell r="R58">
            <v>0</v>
          </cell>
          <cell r="S58">
            <v>0</v>
          </cell>
          <cell r="T58">
            <v>0</v>
          </cell>
          <cell r="U58">
            <v>0</v>
          </cell>
          <cell r="V58">
            <v>0</v>
          </cell>
          <cell r="W58">
            <v>0</v>
          </cell>
          <cell r="X58">
            <v>0</v>
          </cell>
          <cell r="Y58">
            <v>0</v>
          </cell>
          <cell r="Z58">
            <v>0</v>
          </cell>
          <cell r="AA58">
            <v>0</v>
          </cell>
        </row>
        <row r="59">
          <cell r="O59">
            <v>0</v>
          </cell>
          <cell r="P59">
            <v>0</v>
          </cell>
          <cell r="Q59">
            <v>0</v>
          </cell>
          <cell r="R59">
            <v>0</v>
          </cell>
          <cell r="S59">
            <v>0</v>
          </cell>
          <cell r="T59">
            <v>0</v>
          </cell>
          <cell r="U59">
            <v>0</v>
          </cell>
          <cell r="V59">
            <v>0</v>
          </cell>
          <cell r="W59">
            <v>0</v>
          </cell>
          <cell r="X59">
            <v>0</v>
          </cell>
          <cell r="Y59">
            <v>0</v>
          </cell>
          <cell r="Z59">
            <v>0</v>
          </cell>
          <cell r="AA59">
            <v>0</v>
          </cell>
        </row>
      </sheetData>
      <sheetData sheetId="12" refreshError="1">
        <row r="8">
          <cell r="O8">
            <v>0</v>
          </cell>
          <cell r="P8">
            <v>-3253058.74</v>
          </cell>
          <cell r="Q8">
            <v>-6804979.9000000004</v>
          </cell>
          <cell r="R8">
            <v>-5587279.3100000005</v>
          </cell>
          <cell r="S8">
            <v>-4555082.0100000007</v>
          </cell>
          <cell r="T8">
            <v>-4029511.3200000008</v>
          </cell>
          <cell r="U8">
            <v>-1975689.6800000009</v>
          </cell>
          <cell r="V8">
            <v>-1862725.9000000008</v>
          </cell>
          <cell r="W8">
            <v>-801891.48000000091</v>
          </cell>
          <cell r="X8">
            <v>-226879.35000000149</v>
          </cell>
          <cell r="Y8">
            <v>-226879.35000000149</v>
          </cell>
          <cell r="Z8">
            <v>-226879.35000000149</v>
          </cell>
          <cell r="AA8">
            <v>-226879.35000000149</v>
          </cell>
        </row>
        <row r="9">
          <cell r="A9" t="str">
            <v>1000</v>
          </cell>
          <cell r="C9">
            <v>10734.55</v>
          </cell>
          <cell r="D9">
            <v>99372.68</v>
          </cell>
          <cell r="E9">
            <v>105783.9</v>
          </cell>
          <cell r="F9">
            <v>1945.82</v>
          </cell>
          <cell r="G9">
            <v>105987.06</v>
          </cell>
          <cell r="H9">
            <v>310557.03000000003</v>
          </cell>
          <cell r="I9">
            <v>30048.79</v>
          </cell>
          <cell r="J9">
            <v>69861.3</v>
          </cell>
          <cell r="O9" t="str">
            <v>1000</v>
          </cell>
          <cell r="P9">
            <v>0</v>
          </cell>
          <cell r="Q9">
            <v>10734.55</v>
          </cell>
          <cell r="R9">
            <v>110107.23</v>
          </cell>
          <cell r="S9">
            <v>215891.13</v>
          </cell>
          <cell r="T9">
            <v>217836.95</v>
          </cell>
          <cell r="U9">
            <v>323824.01</v>
          </cell>
          <cell r="V9">
            <v>634381.04</v>
          </cell>
          <cell r="W9">
            <v>664429.83000000007</v>
          </cell>
          <cell r="X9">
            <v>734291.13000000012</v>
          </cell>
          <cell r="Y9">
            <v>734291.13000000012</v>
          </cell>
          <cell r="Z9">
            <v>734291.13000000012</v>
          </cell>
          <cell r="AA9">
            <v>734291.13000000012</v>
          </cell>
        </row>
        <row r="10">
          <cell r="A10" t="str">
            <v>1001</v>
          </cell>
          <cell r="C10">
            <v>783</v>
          </cell>
          <cell r="D10">
            <v>13757.66</v>
          </cell>
          <cell r="E10">
            <v>980.31</v>
          </cell>
          <cell r="G10">
            <v>6624.6</v>
          </cell>
          <cell r="H10">
            <v>9402.5</v>
          </cell>
          <cell r="J10">
            <v>4466.13</v>
          </cell>
          <cell r="O10" t="str">
            <v>1001</v>
          </cell>
          <cell r="P10">
            <v>0</v>
          </cell>
          <cell r="Q10">
            <v>783</v>
          </cell>
          <cell r="R10">
            <v>14540.66</v>
          </cell>
          <cell r="S10">
            <v>15520.97</v>
          </cell>
          <cell r="T10">
            <v>15520.97</v>
          </cell>
          <cell r="U10">
            <v>22145.57</v>
          </cell>
          <cell r="V10">
            <v>31548.07</v>
          </cell>
          <cell r="W10">
            <v>31548.07</v>
          </cell>
          <cell r="X10">
            <v>36014.199999999997</v>
          </cell>
          <cell r="Y10">
            <v>36014.199999999997</v>
          </cell>
          <cell r="Z10">
            <v>36014.199999999997</v>
          </cell>
          <cell r="AA10">
            <v>36014.199999999997</v>
          </cell>
        </row>
        <row r="11">
          <cell r="A11" t="str">
            <v>1003</v>
          </cell>
          <cell r="B11">
            <v>7252.82</v>
          </cell>
          <cell r="C11">
            <v>11719.36</v>
          </cell>
          <cell r="H11">
            <v>16566.939999999999</v>
          </cell>
          <cell r="O11" t="str">
            <v>1003</v>
          </cell>
          <cell r="P11">
            <v>7252.82</v>
          </cell>
          <cell r="Q11">
            <v>18972.18</v>
          </cell>
          <cell r="R11">
            <v>18972.18</v>
          </cell>
          <cell r="S11">
            <v>18972.18</v>
          </cell>
          <cell r="T11">
            <v>18972.18</v>
          </cell>
          <cell r="U11">
            <v>18972.18</v>
          </cell>
          <cell r="V11">
            <v>35539.119999999995</v>
          </cell>
          <cell r="W11">
            <v>35539.119999999995</v>
          </cell>
          <cell r="X11">
            <v>35539.119999999995</v>
          </cell>
          <cell r="Y11">
            <v>35539.119999999995</v>
          </cell>
          <cell r="Z11">
            <v>35539.119999999995</v>
          </cell>
          <cell r="AA11">
            <v>35539.119999999995</v>
          </cell>
        </row>
        <row r="12">
          <cell r="A12" t="str">
            <v>1004</v>
          </cell>
          <cell r="B12">
            <v>125256.69</v>
          </cell>
          <cell r="C12">
            <v>152568.29</v>
          </cell>
          <cell r="D12">
            <v>254694.15</v>
          </cell>
          <cell r="E12">
            <v>255796.06</v>
          </cell>
          <cell r="F12">
            <v>373843.05</v>
          </cell>
          <cell r="G12">
            <v>218222.04</v>
          </cell>
          <cell r="H12">
            <v>193944.73</v>
          </cell>
          <cell r="I12">
            <v>230540.95</v>
          </cell>
          <cell r="J12">
            <v>231949.71</v>
          </cell>
          <cell r="O12" t="str">
            <v>1004</v>
          </cell>
          <cell r="P12">
            <v>125256.69</v>
          </cell>
          <cell r="Q12">
            <v>277824.98</v>
          </cell>
          <cell r="R12">
            <v>532519.13</v>
          </cell>
          <cell r="S12">
            <v>788315.19</v>
          </cell>
          <cell r="T12">
            <v>1162158.24</v>
          </cell>
          <cell r="U12">
            <v>1380380.28</v>
          </cell>
          <cell r="V12">
            <v>1574325.01</v>
          </cell>
          <cell r="W12">
            <v>1804865.96</v>
          </cell>
          <cell r="X12">
            <v>2036815.67</v>
          </cell>
          <cell r="Y12">
            <v>2036815.67</v>
          </cell>
          <cell r="Z12">
            <v>2036815.67</v>
          </cell>
          <cell r="AA12">
            <v>2036815.67</v>
          </cell>
        </row>
        <row r="13">
          <cell r="A13" t="str">
            <v>1005</v>
          </cell>
          <cell r="C13">
            <v>70422.179999999993</v>
          </cell>
          <cell r="E13">
            <v>0</v>
          </cell>
          <cell r="O13" t="str">
            <v>1005</v>
          </cell>
          <cell r="P13">
            <v>0</v>
          </cell>
          <cell r="Q13">
            <v>70422.179999999993</v>
          </cell>
          <cell r="R13">
            <v>70422.179999999993</v>
          </cell>
          <cell r="S13">
            <v>70422.179999999993</v>
          </cell>
          <cell r="T13">
            <v>70422.179999999993</v>
          </cell>
          <cell r="U13">
            <v>70422.179999999993</v>
          </cell>
          <cell r="V13">
            <v>70422.179999999993</v>
          </cell>
          <cell r="W13">
            <v>70422.179999999993</v>
          </cell>
          <cell r="X13">
            <v>70422.179999999993</v>
          </cell>
          <cell r="Y13">
            <v>70422.179999999993</v>
          </cell>
          <cell r="Z13">
            <v>70422.179999999993</v>
          </cell>
          <cell r="AA13">
            <v>70422.179999999993</v>
          </cell>
        </row>
        <row r="14">
          <cell r="A14" t="str">
            <v>1006</v>
          </cell>
          <cell r="B14">
            <v>125329.58</v>
          </cell>
          <cell r="C14">
            <v>72683.47</v>
          </cell>
          <cell r="D14">
            <v>2657.66</v>
          </cell>
          <cell r="E14">
            <v>97391.8</v>
          </cell>
          <cell r="F14">
            <v>32741.93</v>
          </cell>
          <cell r="G14">
            <v>79330.53</v>
          </cell>
          <cell r="H14">
            <v>96612.89</v>
          </cell>
          <cell r="I14">
            <v>9633.06</v>
          </cell>
          <cell r="J14">
            <v>50100.41</v>
          </cell>
          <cell r="O14" t="str">
            <v>1006</v>
          </cell>
          <cell r="P14">
            <v>125329.58</v>
          </cell>
          <cell r="Q14">
            <v>198013.05</v>
          </cell>
          <cell r="R14">
            <v>200670.71</v>
          </cell>
          <cell r="S14">
            <v>298062.51</v>
          </cell>
          <cell r="T14">
            <v>330804.44</v>
          </cell>
          <cell r="U14">
            <v>410134.97</v>
          </cell>
          <cell r="V14">
            <v>506747.86</v>
          </cell>
          <cell r="W14">
            <v>516380.92</v>
          </cell>
          <cell r="X14">
            <v>566481.32999999996</v>
          </cell>
          <cell r="Y14">
            <v>566481.32999999996</v>
          </cell>
          <cell r="Z14">
            <v>566481.32999999996</v>
          </cell>
          <cell r="AA14">
            <v>566481.32999999996</v>
          </cell>
        </row>
        <row r="15">
          <cell r="A15" t="str">
            <v>1007</v>
          </cell>
          <cell r="C15">
            <v>93265.33</v>
          </cell>
          <cell r="D15">
            <v>104084.64</v>
          </cell>
          <cell r="F15">
            <v>67436.7</v>
          </cell>
          <cell r="H15">
            <v>6677.42</v>
          </cell>
          <cell r="J15">
            <v>71000.009999999995</v>
          </cell>
          <cell r="O15" t="str">
            <v>1007</v>
          </cell>
          <cell r="P15">
            <v>0</v>
          </cell>
          <cell r="Q15">
            <v>93265.33</v>
          </cell>
          <cell r="R15">
            <v>197349.97</v>
          </cell>
          <cell r="S15">
            <v>197349.97</v>
          </cell>
          <cell r="T15">
            <v>264786.67</v>
          </cell>
          <cell r="U15">
            <v>264786.67</v>
          </cell>
          <cell r="V15">
            <v>271464.08999999997</v>
          </cell>
          <cell r="W15">
            <v>271464.08999999997</v>
          </cell>
          <cell r="X15">
            <v>342464.1</v>
          </cell>
          <cell r="Y15">
            <v>342464.1</v>
          </cell>
          <cell r="Z15">
            <v>342464.1</v>
          </cell>
          <cell r="AA15">
            <v>342464.1</v>
          </cell>
        </row>
        <row r="16">
          <cell r="A16" t="str">
            <v>1008</v>
          </cell>
          <cell r="B16">
            <v>65075.49</v>
          </cell>
          <cell r="C16">
            <v>4339.5200000000004</v>
          </cell>
          <cell r="D16">
            <v>1577.82</v>
          </cell>
          <cell r="E16">
            <v>20674.13</v>
          </cell>
          <cell r="F16">
            <v>433.87</v>
          </cell>
          <cell r="G16">
            <v>1880.24</v>
          </cell>
          <cell r="H16">
            <v>51478.720000000001</v>
          </cell>
          <cell r="J16">
            <v>1446.37</v>
          </cell>
          <cell r="O16" t="str">
            <v>1008</v>
          </cell>
          <cell r="P16">
            <v>65075.49</v>
          </cell>
          <cell r="Q16">
            <v>69415.009999999995</v>
          </cell>
          <cell r="R16">
            <v>70992.83</v>
          </cell>
          <cell r="S16">
            <v>91666.96</v>
          </cell>
          <cell r="T16">
            <v>92100.83</v>
          </cell>
          <cell r="U16">
            <v>93981.07</v>
          </cell>
          <cell r="V16">
            <v>145459.79</v>
          </cell>
          <cell r="W16">
            <v>145459.79</v>
          </cell>
          <cell r="X16">
            <v>146906.16</v>
          </cell>
          <cell r="Y16">
            <v>146906.16</v>
          </cell>
          <cell r="Z16">
            <v>146906.16</v>
          </cell>
          <cell r="AA16">
            <v>146906.16</v>
          </cell>
        </row>
        <row r="17">
          <cell r="A17" t="str">
            <v>1012</v>
          </cell>
          <cell r="B17">
            <v>43359.92</v>
          </cell>
          <cell r="C17">
            <v>1703.22</v>
          </cell>
          <cell r="D17">
            <v>1883.87</v>
          </cell>
          <cell r="F17">
            <v>570.53</v>
          </cell>
          <cell r="H17">
            <v>465.56</v>
          </cell>
          <cell r="O17" t="str">
            <v>1012</v>
          </cell>
          <cell r="P17">
            <v>43359.92</v>
          </cell>
          <cell r="Q17">
            <v>45063.14</v>
          </cell>
          <cell r="R17">
            <v>46947.01</v>
          </cell>
          <cell r="S17">
            <v>46947.01</v>
          </cell>
          <cell r="T17">
            <v>47517.54</v>
          </cell>
          <cell r="U17">
            <v>47517.54</v>
          </cell>
          <cell r="V17">
            <v>47983.1</v>
          </cell>
          <cell r="W17">
            <v>47983.1</v>
          </cell>
          <cell r="X17">
            <v>47983.1</v>
          </cell>
          <cell r="Y17">
            <v>47983.1</v>
          </cell>
          <cell r="Z17">
            <v>47983.1</v>
          </cell>
          <cell r="AA17">
            <v>47983.1</v>
          </cell>
        </row>
        <row r="18">
          <cell r="A18" t="str">
            <v>1013</v>
          </cell>
          <cell r="C18">
            <v>3800</v>
          </cell>
          <cell r="D18">
            <v>10462.9</v>
          </cell>
          <cell r="E18">
            <v>13703.63</v>
          </cell>
          <cell r="F18">
            <v>13165.73</v>
          </cell>
          <cell r="G18">
            <v>3600</v>
          </cell>
          <cell r="H18">
            <v>1923.79</v>
          </cell>
          <cell r="O18" t="str">
            <v>1013</v>
          </cell>
          <cell r="P18">
            <v>0</v>
          </cell>
          <cell r="Q18">
            <v>3800</v>
          </cell>
          <cell r="R18">
            <v>14262.9</v>
          </cell>
          <cell r="S18">
            <v>27966.53</v>
          </cell>
          <cell r="T18">
            <v>41132.259999999995</v>
          </cell>
          <cell r="U18">
            <v>44732.259999999995</v>
          </cell>
          <cell r="V18">
            <v>46656.049999999996</v>
          </cell>
          <cell r="W18">
            <v>46656.049999999996</v>
          </cell>
          <cell r="X18">
            <v>46656.049999999996</v>
          </cell>
          <cell r="Y18">
            <v>46656.049999999996</v>
          </cell>
          <cell r="Z18">
            <v>46656.049999999996</v>
          </cell>
          <cell r="AA18">
            <v>46656.049999999996</v>
          </cell>
        </row>
        <row r="19">
          <cell r="A19" t="str">
            <v>1016</v>
          </cell>
          <cell r="D19">
            <v>3514.5</v>
          </cell>
          <cell r="O19" t="str">
            <v>1016</v>
          </cell>
          <cell r="P19">
            <v>0</v>
          </cell>
          <cell r="Q19">
            <v>0</v>
          </cell>
          <cell r="R19">
            <v>3514.5</v>
          </cell>
          <cell r="S19">
            <v>3514.5</v>
          </cell>
          <cell r="T19">
            <v>3514.5</v>
          </cell>
          <cell r="U19">
            <v>3514.5</v>
          </cell>
          <cell r="V19">
            <v>3514.5</v>
          </cell>
          <cell r="W19">
            <v>3514.5</v>
          </cell>
          <cell r="X19">
            <v>3514.5</v>
          </cell>
          <cell r="Y19">
            <v>3514.5</v>
          </cell>
          <cell r="Z19">
            <v>3514.5</v>
          </cell>
          <cell r="AA19">
            <v>3514.5</v>
          </cell>
        </row>
        <row r="20">
          <cell r="A20" t="str">
            <v>1017</v>
          </cell>
          <cell r="C20">
            <v>240346.37</v>
          </cell>
          <cell r="D20">
            <v>5232.26</v>
          </cell>
          <cell r="F20">
            <v>4409.68</v>
          </cell>
          <cell r="G20">
            <v>54895.97</v>
          </cell>
          <cell r="H20">
            <v>79080</v>
          </cell>
          <cell r="I20">
            <v>8561.69</v>
          </cell>
          <cell r="J20">
            <v>55701.61</v>
          </cell>
          <cell r="O20" t="str">
            <v>1017</v>
          </cell>
          <cell r="P20">
            <v>0</v>
          </cell>
          <cell r="Q20">
            <v>240346.37</v>
          </cell>
          <cell r="R20">
            <v>245578.63</v>
          </cell>
          <cell r="S20">
            <v>245578.63</v>
          </cell>
          <cell r="T20">
            <v>249988.31</v>
          </cell>
          <cell r="U20">
            <v>304884.28000000003</v>
          </cell>
          <cell r="V20">
            <v>383964.28</v>
          </cell>
          <cell r="W20">
            <v>392525.97000000003</v>
          </cell>
          <cell r="X20">
            <v>448227.58</v>
          </cell>
          <cell r="Y20">
            <v>448227.58</v>
          </cell>
          <cell r="Z20">
            <v>448227.58</v>
          </cell>
          <cell r="AA20">
            <v>448227.58</v>
          </cell>
        </row>
        <row r="21">
          <cell r="A21" t="str">
            <v>1020</v>
          </cell>
          <cell r="F21">
            <v>8747.98</v>
          </cell>
          <cell r="O21" t="str">
            <v>1020</v>
          </cell>
          <cell r="P21">
            <v>0</v>
          </cell>
          <cell r="Q21">
            <v>0</v>
          </cell>
          <cell r="R21">
            <v>0</v>
          </cell>
          <cell r="S21">
            <v>0</v>
          </cell>
          <cell r="T21">
            <v>8747.98</v>
          </cell>
          <cell r="U21">
            <v>8747.98</v>
          </cell>
          <cell r="V21">
            <v>8747.98</v>
          </cell>
          <cell r="W21">
            <v>8747.98</v>
          </cell>
          <cell r="X21">
            <v>8747.98</v>
          </cell>
          <cell r="Y21">
            <v>8747.98</v>
          </cell>
          <cell r="Z21">
            <v>8747.98</v>
          </cell>
          <cell r="AA21">
            <v>8747.98</v>
          </cell>
        </row>
        <row r="22">
          <cell r="A22" t="str">
            <v>1023</v>
          </cell>
          <cell r="B22">
            <v>186060.88</v>
          </cell>
          <cell r="C22">
            <v>273755.46999999997</v>
          </cell>
          <cell r="D22">
            <v>146726.29</v>
          </cell>
          <cell r="E22">
            <v>13760.05</v>
          </cell>
          <cell r="F22">
            <v>92150</v>
          </cell>
          <cell r="O22" t="str">
            <v>1023</v>
          </cell>
          <cell r="P22">
            <v>186060.88</v>
          </cell>
          <cell r="Q22">
            <v>459816.35</v>
          </cell>
          <cell r="R22">
            <v>606542.64</v>
          </cell>
          <cell r="S22">
            <v>620302.69000000006</v>
          </cell>
          <cell r="T22">
            <v>712452.69000000006</v>
          </cell>
          <cell r="U22">
            <v>712452.69000000006</v>
          </cell>
          <cell r="V22">
            <v>712452.69000000006</v>
          </cell>
          <cell r="W22">
            <v>712452.69000000006</v>
          </cell>
          <cell r="X22">
            <v>712452.69000000006</v>
          </cell>
          <cell r="Y22">
            <v>712452.69000000006</v>
          </cell>
          <cell r="Z22">
            <v>712452.69000000006</v>
          </cell>
          <cell r="AA22">
            <v>712452.69000000006</v>
          </cell>
        </row>
        <row r="23">
          <cell r="A23" t="str">
            <v>1026</v>
          </cell>
          <cell r="B23">
            <v>62901.73</v>
          </cell>
          <cell r="C23">
            <v>38014.53</v>
          </cell>
          <cell r="D23">
            <v>34565.15</v>
          </cell>
          <cell r="E23">
            <v>81638.86</v>
          </cell>
          <cell r="F23">
            <v>2472.1799999999998</v>
          </cell>
          <cell r="G23">
            <v>7131.05</v>
          </cell>
          <cell r="H23">
            <v>35044.94</v>
          </cell>
          <cell r="I23">
            <v>32319.35</v>
          </cell>
          <cell r="J23">
            <v>5726.61</v>
          </cell>
          <cell r="O23" t="str">
            <v>1026</v>
          </cell>
          <cell r="P23">
            <v>62901.73</v>
          </cell>
          <cell r="Q23">
            <v>100916.26000000001</v>
          </cell>
          <cell r="R23">
            <v>135481.41</v>
          </cell>
          <cell r="S23">
            <v>217120.27000000002</v>
          </cell>
          <cell r="T23">
            <v>219592.45</v>
          </cell>
          <cell r="U23">
            <v>226723.5</v>
          </cell>
          <cell r="V23">
            <v>261768.44</v>
          </cell>
          <cell r="W23">
            <v>294087.78999999998</v>
          </cell>
          <cell r="X23">
            <v>299814.39999999997</v>
          </cell>
          <cell r="Y23">
            <v>299814.39999999997</v>
          </cell>
          <cell r="Z23">
            <v>299814.39999999997</v>
          </cell>
          <cell r="AA23">
            <v>299814.39999999997</v>
          </cell>
        </row>
        <row r="24">
          <cell r="A24" t="str">
            <v>1027</v>
          </cell>
          <cell r="B24">
            <v>695086.45</v>
          </cell>
          <cell r="C24">
            <v>115326.13</v>
          </cell>
          <cell r="D24">
            <v>760261.6</v>
          </cell>
          <cell r="E24">
            <v>297089.65000000002</v>
          </cell>
          <cell r="F24">
            <v>326701.17</v>
          </cell>
          <cell r="G24">
            <v>232835.29</v>
          </cell>
          <cell r="H24">
            <v>484816.37</v>
          </cell>
          <cell r="I24">
            <v>9011.7799999999897</v>
          </cell>
          <cell r="J24">
            <v>300199.38</v>
          </cell>
          <cell r="O24" t="str">
            <v>1027</v>
          </cell>
          <cell r="P24">
            <v>695086.45</v>
          </cell>
          <cell r="Q24">
            <v>810412.58</v>
          </cell>
          <cell r="R24">
            <v>1570674.18</v>
          </cell>
          <cell r="S24">
            <v>1867763.83</v>
          </cell>
          <cell r="T24">
            <v>2194465</v>
          </cell>
          <cell r="U24">
            <v>2427300.29</v>
          </cell>
          <cell r="V24">
            <v>2912116.66</v>
          </cell>
          <cell r="W24">
            <v>2921128.44</v>
          </cell>
          <cell r="X24">
            <v>3221327.82</v>
          </cell>
          <cell r="Y24">
            <v>3221327.82</v>
          </cell>
          <cell r="Z24">
            <v>3221327.82</v>
          </cell>
          <cell r="AA24">
            <v>3221327.82</v>
          </cell>
        </row>
        <row r="25">
          <cell r="A25" t="str">
            <v>1029</v>
          </cell>
          <cell r="B25">
            <v>376376.57</v>
          </cell>
          <cell r="C25">
            <v>576810.86</v>
          </cell>
          <cell r="D25">
            <v>461804.34</v>
          </cell>
          <cell r="E25">
            <v>420383.84</v>
          </cell>
          <cell r="F25">
            <v>451789.49</v>
          </cell>
          <cell r="G25">
            <v>613153.30000000005</v>
          </cell>
          <cell r="H25">
            <v>328829.34000000003</v>
          </cell>
          <cell r="I25">
            <v>473806.46</v>
          </cell>
          <cell r="J25">
            <v>330743.55</v>
          </cell>
          <cell r="O25" t="str">
            <v>1029</v>
          </cell>
          <cell r="P25">
            <v>376376.57</v>
          </cell>
          <cell r="Q25">
            <v>953187.42999999993</v>
          </cell>
          <cell r="R25">
            <v>1414991.77</v>
          </cell>
          <cell r="S25">
            <v>1835375.61</v>
          </cell>
          <cell r="T25">
            <v>2287165.1</v>
          </cell>
          <cell r="U25">
            <v>2900318.4000000004</v>
          </cell>
          <cell r="V25">
            <v>3229147.74</v>
          </cell>
          <cell r="W25">
            <v>3702954.2</v>
          </cell>
          <cell r="X25">
            <v>4033697.75</v>
          </cell>
          <cell r="Y25">
            <v>4033697.75</v>
          </cell>
          <cell r="Z25">
            <v>4033697.75</v>
          </cell>
          <cell r="AA25">
            <v>4033697.75</v>
          </cell>
        </row>
        <row r="26">
          <cell r="A26" t="str">
            <v>1032</v>
          </cell>
          <cell r="C26">
            <v>14815</v>
          </cell>
          <cell r="D26">
            <v>2037.9</v>
          </cell>
          <cell r="E26">
            <v>2037.9</v>
          </cell>
          <cell r="F26">
            <v>2037.9</v>
          </cell>
          <cell r="G26">
            <v>2037.9</v>
          </cell>
          <cell r="H26">
            <v>61294.35</v>
          </cell>
          <cell r="I26">
            <v>6113.71</v>
          </cell>
          <cell r="O26" t="str">
            <v>1032</v>
          </cell>
          <cell r="P26">
            <v>0</v>
          </cell>
          <cell r="Q26">
            <v>14815</v>
          </cell>
          <cell r="R26">
            <v>16852.900000000001</v>
          </cell>
          <cell r="S26">
            <v>18890.800000000003</v>
          </cell>
          <cell r="T26">
            <v>20928.700000000004</v>
          </cell>
          <cell r="U26">
            <v>22966.600000000006</v>
          </cell>
          <cell r="V26">
            <v>84260.950000000012</v>
          </cell>
          <cell r="W26">
            <v>90374.660000000018</v>
          </cell>
          <cell r="X26">
            <v>90374.660000000018</v>
          </cell>
          <cell r="Y26">
            <v>90374.660000000018</v>
          </cell>
          <cell r="Z26">
            <v>90374.660000000018</v>
          </cell>
          <cell r="AA26">
            <v>90374.660000000018</v>
          </cell>
        </row>
        <row r="27">
          <cell r="A27" t="str">
            <v>1033</v>
          </cell>
          <cell r="C27">
            <v>5635.5</v>
          </cell>
          <cell r="E27">
            <v>10967.04</v>
          </cell>
          <cell r="G27">
            <v>5369.89</v>
          </cell>
          <cell r="H27">
            <v>3882.51</v>
          </cell>
          <cell r="J27">
            <v>660.98</v>
          </cell>
          <cell r="O27" t="str">
            <v>1033</v>
          </cell>
          <cell r="P27">
            <v>0</v>
          </cell>
          <cell r="Q27">
            <v>5635.5</v>
          </cell>
          <cell r="R27">
            <v>5635.5</v>
          </cell>
          <cell r="S27">
            <v>16602.54</v>
          </cell>
          <cell r="T27">
            <v>16602.54</v>
          </cell>
          <cell r="U27">
            <v>21972.43</v>
          </cell>
          <cell r="V27">
            <v>25854.940000000002</v>
          </cell>
          <cell r="W27">
            <v>25854.940000000002</v>
          </cell>
          <cell r="X27">
            <v>26515.920000000002</v>
          </cell>
          <cell r="Y27">
            <v>26515.920000000002</v>
          </cell>
          <cell r="Z27">
            <v>26515.920000000002</v>
          </cell>
          <cell r="AA27">
            <v>26515.920000000002</v>
          </cell>
        </row>
        <row r="28">
          <cell r="A28" t="str">
            <v>1035</v>
          </cell>
          <cell r="D28">
            <v>74637</v>
          </cell>
          <cell r="O28" t="str">
            <v>1035</v>
          </cell>
          <cell r="P28">
            <v>0</v>
          </cell>
          <cell r="Q28">
            <v>0</v>
          </cell>
          <cell r="R28">
            <v>74637</v>
          </cell>
          <cell r="S28">
            <v>74637</v>
          </cell>
          <cell r="T28">
            <v>74637</v>
          </cell>
          <cell r="U28">
            <v>74637</v>
          </cell>
          <cell r="V28">
            <v>74637</v>
          </cell>
          <cell r="W28">
            <v>74637</v>
          </cell>
          <cell r="X28">
            <v>74637</v>
          </cell>
          <cell r="Y28">
            <v>74637</v>
          </cell>
          <cell r="Z28">
            <v>74637</v>
          </cell>
          <cell r="AA28">
            <v>74637</v>
          </cell>
        </row>
        <row r="29">
          <cell r="A29" t="str">
            <v>1036</v>
          </cell>
          <cell r="D29">
            <v>36366.379999999997</v>
          </cell>
          <cell r="O29" t="str">
            <v>1036</v>
          </cell>
          <cell r="P29">
            <v>0</v>
          </cell>
          <cell r="Q29">
            <v>0</v>
          </cell>
          <cell r="R29">
            <v>36366.379999999997</v>
          </cell>
          <cell r="S29">
            <v>36366.379999999997</v>
          </cell>
          <cell r="T29">
            <v>36366.379999999997</v>
          </cell>
          <cell r="U29">
            <v>36366.379999999997</v>
          </cell>
          <cell r="V29">
            <v>36366.379999999997</v>
          </cell>
          <cell r="W29">
            <v>36366.379999999997</v>
          </cell>
          <cell r="X29">
            <v>36366.379999999997</v>
          </cell>
          <cell r="Y29">
            <v>36366.379999999997</v>
          </cell>
          <cell r="Z29">
            <v>36366.379999999997</v>
          </cell>
          <cell r="AA29">
            <v>36366.379999999997</v>
          </cell>
        </row>
        <row r="30">
          <cell r="A30" t="str">
            <v>1037</v>
          </cell>
          <cell r="E30">
            <v>-14702.36</v>
          </cell>
          <cell r="H30">
            <v>1922.08</v>
          </cell>
          <cell r="I30">
            <v>2108.29</v>
          </cell>
          <cell r="J30">
            <v>7333.49</v>
          </cell>
          <cell r="O30" t="str">
            <v>1037</v>
          </cell>
          <cell r="P30">
            <v>0</v>
          </cell>
          <cell r="Q30">
            <v>0</v>
          </cell>
          <cell r="R30">
            <v>0</v>
          </cell>
          <cell r="S30">
            <v>-14702.36</v>
          </cell>
          <cell r="T30">
            <v>-14702.36</v>
          </cell>
          <cell r="U30">
            <v>-14702.36</v>
          </cell>
          <cell r="V30">
            <v>-12780.28</v>
          </cell>
          <cell r="W30">
            <v>-10671.990000000002</v>
          </cell>
          <cell r="X30">
            <v>-3338.5000000000018</v>
          </cell>
          <cell r="Y30">
            <v>-3338.5000000000018</v>
          </cell>
          <cell r="Z30">
            <v>-3338.5000000000018</v>
          </cell>
          <cell r="AA30">
            <v>-3338.5000000000018</v>
          </cell>
        </row>
        <row r="31">
          <cell r="A31" t="str">
            <v>1038</v>
          </cell>
          <cell r="E31">
            <v>-10429.4</v>
          </cell>
          <cell r="O31" t="str">
            <v>1038</v>
          </cell>
          <cell r="P31">
            <v>0</v>
          </cell>
          <cell r="Q31">
            <v>0</v>
          </cell>
          <cell r="R31">
            <v>0</v>
          </cell>
          <cell r="S31">
            <v>-10429.4</v>
          </cell>
          <cell r="T31">
            <v>-10429.4</v>
          </cell>
          <cell r="U31">
            <v>-10429.4</v>
          </cell>
          <cell r="V31">
            <v>-10429.4</v>
          </cell>
          <cell r="W31">
            <v>-10429.4</v>
          </cell>
          <cell r="X31">
            <v>-10429.4</v>
          </cell>
          <cell r="Y31">
            <v>-10429.4</v>
          </cell>
          <cell r="Z31">
            <v>-10429.4</v>
          </cell>
          <cell r="AA31">
            <v>-10429.4</v>
          </cell>
        </row>
        <row r="32">
          <cell r="A32" t="str">
            <v>1040</v>
          </cell>
          <cell r="D32">
            <v>145</v>
          </cell>
          <cell r="E32">
            <v>4817.68</v>
          </cell>
          <cell r="I32">
            <v>450</v>
          </cell>
          <cell r="O32" t="str">
            <v>1040</v>
          </cell>
          <cell r="P32">
            <v>0</v>
          </cell>
          <cell r="Q32">
            <v>0</v>
          </cell>
          <cell r="R32">
            <v>145</v>
          </cell>
          <cell r="S32">
            <v>4962.68</v>
          </cell>
          <cell r="T32">
            <v>4962.68</v>
          </cell>
          <cell r="U32">
            <v>4962.68</v>
          </cell>
          <cell r="V32">
            <v>4962.68</v>
          </cell>
          <cell r="W32">
            <v>5412.68</v>
          </cell>
          <cell r="X32">
            <v>5412.68</v>
          </cell>
          <cell r="Y32">
            <v>5412.68</v>
          </cell>
          <cell r="Z32">
            <v>5412.68</v>
          </cell>
          <cell r="AA32">
            <v>5412.68</v>
          </cell>
        </row>
        <row r="33">
          <cell r="A33" t="str">
            <v>1041</v>
          </cell>
          <cell r="C33">
            <v>23551.18</v>
          </cell>
          <cell r="E33">
            <v>-1.0000000002037268E-2</v>
          </cell>
          <cell r="O33" t="str">
            <v>1041</v>
          </cell>
          <cell r="P33">
            <v>0</v>
          </cell>
          <cell r="Q33">
            <v>23551.18</v>
          </cell>
          <cell r="R33">
            <v>23551.18</v>
          </cell>
          <cell r="S33">
            <v>23551.17</v>
          </cell>
          <cell r="T33">
            <v>23551.17</v>
          </cell>
          <cell r="U33">
            <v>23551.17</v>
          </cell>
          <cell r="V33">
            <v>23551.17</v>
          </cell>
          <cell r="W33">
            <v>23551.17</v>
          </cell>
          <cell r="X33">
            <v>23551.17</v>
          </cell>
          <cell r="Y33">
            <v>23551.17</v>
          </cell>
          <cell r="Z33">
            <v>23551.17</v>
          </cell>
          <cell r="AA33">
            <v>23551.17</v>
          </cell>
        </row>
        <row r="34">
          <cell r="A34" t="str">
            <v>1046</v>
          </cell>
          <cell r="D34">
            <v>136259.07</v>
          </cell>
          <cell r="F34">
            <v>3348.79</v>
          </cell>
          <cell r="O34" t="str">
            <v>1046</v>
          </cell>
          <cell r="P34">
            <v>0</v>
          </cell>
          <cell r="Q34">
            <v>0</v>
          </cell>
          <cell r="R34">
            <v>136259.07</v>
          </cell>
          <cell r="S34">
            <v>136259.07</v>
          </cell>
          <cell r="T34">
            <v>139607.86000000002</v>
          </cell>
          <cell r="U34">
            <v>139607.86000000002</v>
          </cell>
          <cell r="V34">
            <v>139607.86000000002</v>
          </cell>
          <cell r="W34">
            <v>139607.86000000002</v>
          </cell>
          <cell r="X34">
            <v>139607.86000000002</v>
          </cell>
          <cell r="Y34">
            <v>139607.86000000002</v>
          </cell>
          <cell r="Z34">
            <v>139607.86000000002</v>
          </cell>
          <cell r="AA34">
            <v>139607.86000000002</v>
          </cell>
        </row>
        <row r="35">
          <cell r="A35" t="str">
            <v>1048</v>
          </cell>
          <cell r="C35">
            <v>21662</v>
          </cell>
          <cell r="O35" t="str">
            <v>1048</v>
          </cell>
          <cell r="P35">
            <v>0</v>
          </cell>
          <cell r="Q35">
            <v>21662</v>
          </cell>
          <cell r="R35">
            <v>21662</v>
          </cell>
          <cell r="S35">
            <v>21662</v>
          </cell>
          <cell r="T35">
            <v>21662</v>
          </cell>
          <cell r="U35">
            <v>21662</v>
          </cell>
          <cell r="V35">
            <v>21662</v>
          </cell>
          <cell r="W35">
            <v>21662</v>
          </cell>
          <cell r="X35">
            <v>21662</v>
          </cell>
          <cell r="Y35">
            <v>21662</v>
          </cell>
          <cell r="Z35">
            <v>21662</v>
          </cell>
          <cell r="AA35">
            <v>21662</v>
          </cell>
        </row>
        <row r="36">
          <cell r="A36" t="str">
            <v>1053</v>
          </cell>
          <cell r="E36">
            <v>350</v>
          </cell>
          <cell r="O36" t="str">
            <v>1053</v>
          </cell>
          <cell r="P36">
            <v>0</v>
          </cell>
          <cell r="Q36">
            <v>0</v>
          </cell>
          <cell r="R36">
            <v>0</v>
          </cell>
          <cell r="S36">
            <v>350</v>
          </cell>
          <cell r="T36">
            <v>350</v>
          </cell>
          <cell r="U36">
            <v>350</v>
          </cell>
          <cell r="V36">
            <v>350</v>
          </cell>
          <cell r="W36">
            <v>350</v>
          </cell>
          <cell r="X36">
            <v>350</v>
          </cell>
          <cell r="Y36">
            <v>350</v>
          </cell>
          <cell r="Z36">
            <v>350</v>
          </cell>
          <cell r="AA36">
            <v>350</v>
          </cell>
        </row>
        <row r="37">
          <cell r="A37" t="str">
            <v>1055</v>
          </cell>
          <cell r="G37">
            <v>143.69</v>
          </cell>
          <cell r="H37">
            <v>2095.75</v>
          </cell>
          <cell r="I37">
            <v>2204.84</v>
          </cell>
          <cell r="J37">
            <v>133127.01</v>
          </cell>
          <cell r="O37" t="str">
            <v>1055</v>
          </cell>
          <cell r="P37">
            <v>0</v>
          </cell>
          <cell r="Q37">
            <v>0</v>
          </cell>
          <cell r="R37">
            <v>0</v>
          </cell>
          <cell r="S37">
            <v>0</v>
          </cell>
          <cell r="T37">
            <v>0</v>
          </cell>
          <cell r="U37">
            <v>143.69</v>
          </cell>
          <cell r="V37">
            <v>2239.44</v>
          </cell>
          <cell r="W37">
            <v>4444.2800000000007</v>
          </cell>
          <cell r="X37">
            <v>137571.29</v>
          </cell>
          <cell r="Y37">
            <v>137571.29</v>
          </cell>
          <cell r="Z37">
            <v>137571.29</v>
          </cell>
          <cell r="AA37">
            <v>137571.29</v>
          </cell>
        </row>
        <row r="38">
          <cell r="O38" t="str">
            <v>Totalt</v>
          </cell>
          <cell r="P38">
            <v>-1566358.61</v>
          </cell>
          <cell r="Q38">
            <v>-3386343.81</v>
          </cell>
          <cell r="R38">
            <v>-18602.350000000093</v>
          </cell>
          <cell r="S38">
            <v>2313838.0299999998</v>
          </cell>
          <cell r="T38">
            <v>4221203.54</v>
          </cell>
          <cell r="U38">
            <v>7606236.7400000002</v>
          </cell>
          <cell r="V38">
            <v>9403795.4399999995</v>
          </cell>
          <cell r="W38">
            <v>11269428.779999999</v>
          </cell>
          <cell r="X38">
            <v>13106757.469999999</v>
          </cell>
          <cell r="Y38">
            <v>13106757.469999999</v>
          </cell>
          <cell r="Z38">
            <v>13106757.469999999</v>
          </cell>
          <cell r="AA38">
            <v>13106757.469999999</v>
          </cell>
        </row>
        <row r="39">
          <cell r="O39">
            <v>0</v>
          </cell>
          <cell r="P39">
            <v>0</v>
          </cell>
          <cell r="Q39">
            <v>0</v>
          </cell>
          <cell r="R39">
            <v>0</v>
          </cell>
          <cell r="S39">
            <v>0</v>
          </cell>
          <cell r="T39">
            <v>0</v>
          </cell>
          <cell r="U39">
            <v>0</v>
          </cell>
          <cell r="V39">
            <v>0</v>
          </cell>
          <cell r="W39">
            <v>0</v>
          </cell>
          <cell r="X39">
            <v>0</v>
          </cell>
          <cell r="Y39">
            <v>0</v>
          </cell>
          <cell r="Z39">
            <v>0</v>
          </cell>
          <cell r="AA39">
            <v>0</v>
          </cell>
        </row>
        <row r="40">
          <cell r="O40">
            <v>0</v>
          </cell>
          <cell r="P40">
            <v>0</v>
          </cell>
          <cell r="Q40">
            <v>0</v>
          </cell>
          <cell r="R40">
            <v>0</v>
          </cell>
          <cell r="S40">
            <v>0</v>
          </cell>
          <cell r="T40">
            <v>0</v>
          </cell>
          <cell r="U40">
            <v>0</v>
          </cell>
          <cell r="V40">
            <v>0</v>
          </cell>
          <cell r="W40">
            <v>0</v>
          </cell>
          <cell r="X40">
            <v>0</v>
          </cell>
          <cell r="Y40">
            <v>0</v>
          </cell>
          <cell r="Z40">
            <v>0</v>
          </cell>
          <cell r="AA40">
            <v>0</v>
          </cell>
        </row>
        <row r="41">
          <cell r="O41">
            <v>0</v>
          </cell>
          <cell r="P41">
            <v>0</v>
          </cell>
          <cell r="Q41">
            <v>0</v>
          </cell>
          <cell r="R41">
            <v>0</v>
          </cell>
          <cell r="S41">
            <v>0</v>
          </cell>
          <cell r="T41">
            <v>0</v>
          </cell>
          <cell r="U41">
            <v>0</v>
          </cell>
          <cell r="V41">
            <v>0</v>
          </cell>
          <cell r="W41">
            <v>0</v>
          </cell>
          <cell r="X41">
            <v>0</v>
          </cell>
          <cell r="Y41">
            <v>0</v>
          </cell>
          <cell r="Z41">
            <v>0</v>
          </cell>
          <cell r="AA41">
            <v>0</v>
          </cell>
        </row>
        <row r="42">
          <cell r="O42">
            <v>0</v>
          </cell>
          <cell r="P42">
            <v>0</v>
          </cell>
          <cell r="Q42">
            <v>0</v>
          </cell>
          <cell r="R42">
            <v>0</v>
          </cell>
          <cell r="S42">
            <v>0</v>
          </cell>
          <cell r="T42">
            <v>0</v>
          </cell>
          <cell r="U42">
            <v>0</v>
          </cell>
          <cell r="V42">
            <v>0</v>
          </cell>
          <cell r="W42">
            <v>0</v>
          </cell>
          <cell r="X42">
            <v>0</v>
          </cell>
          <cell r="Y42">
            <v>0</v>
          </cell>
          <cell r="Z42">
            <v>0</v>
          </cell>
          <cell r="AA42">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Group"/>
      <sheetName val="Quarterlies"/>
      <sheetName val="Valuation"/>
      <sheetName val="Wireline"/>
      <sheetName val="Market"/>
      <sheetName val="Outpayments"/>
      <sheetName val="Sheet1"/>
      <sheetName val="Global Services"/>
      <sheetName val="FRS17"/>
      <sheetName val="George"/>
      <sheetName val="Cost Analy"/>
      <sheetName val="charts"/>
      <sheetName val="questions"/>
      <sheetName val="IM"/>
      <sheetName val="Debt"/>
      <sheetName val="debt 20F"/>
      <sheetName val="Debt ratios"/>
      <sheetName val="Charts Jan 05"/>
    </sheetNames>
    <sheetDataSet>
      <sheetData sheetId="0"/>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refreshError="1">
        <row r="12">
          <cell r="K12" t="str">
            <v>UKP millions</v>
          </cell>
          <cell r="L12" t="str">
            <v>v3</v>
          </cell>
          <cell r="M12">
            <v>38008.59294386574</v>
          </cell>
        </row>
        <row r="13">
          <cell r="K13" t="str">
            <v>UKP millions</v>
          </cell>
          <cell r="L13" t="str">
            <v>v3</v>
          </cell>
          <cell r="M13">
            <v>38008.59294386574</v>
          </cell>
        </row>
        <row r="14">
          <cell r="K14" t="str">
            <v>UKP millions</v>
          </cell>
          <cell r="L14" t="str">
            <v>v3</v>
          </cell>
          <cell r="M14">
            <v>38008.59294386574</v>
          </cell>
          <cell r="AA14">
            <v>12387.769999999999</v>
          </cell>
          <cell r="AB14">
            <v>13370</v>
          </cell>
          <cell r="AC14">
            <v>14067.191011100091</v>
          </cell>
          <cell r="AD14">
            <v>13817.320772919136</v>
          </cell>
          <cell r="AE14">
            <v>13809.68496666932</v>
          </cell>
          <cell r="AF14">
            <v>14082.449148150023</v>
          </cell>
          <cell r="AG14">
            <v>14129.228105830436</v>
          </cell>
          <cell r="AH14">
            <v>14140.064355242996</v>
          </cell>
          <cell r="AI14">
            <v>14087.20710586432</v>
          </cell>
          <cell r="AJ14">
            <v>14021.5411091519</v>
          </cell>
          <cell r="AK14">
            <v>13940.313693105927</v>
          </cell>
          <cell r="AL14">
            <v>13823.741864644662</v>
          </cell>
        </row>
        <row r="15">
          <cell r="K15" t="str">
            <v>UKP millions</v>
          </cell>
          <cell r="L15" t="str">
            <v>v3</v>
          </cell>
          <cell r="M15">
            <v>38008.59294386574</v>
          </cell>
          <cell r="AA15">
            <v>344.75</v>
          </cell>
          <cell r="AB15">
            <v>361.17999999999984</v>
          </cell>
          <cell r="AC15">
            <v>330.4422676171057</v>
          </cell>
          <cell r="AD15">
            <v>394.19119123862538</v>
          </cell>
          <cell r="AE15">
            <v>354.05332148453499</v>
          </cell>
          <cell r="AF15">
            <v>162.16521066052019</v>
          </cell>
          <cell r="AG15">
            <v>124.76613676321813</v>
          </cell>
          <cell r="AH15">
            <v>167.77386253554914</v>
          </cell>
          <cell r="AI15">
            <v>194.12031483954661</v>
          </cell>
          <cell r="AJ15">
            <v>214.03415076793772</v>
          </cell>
          <cell r="AK15">
            <v>226.06293048617135</v>
          </cell>
          <cell r="AL15">
            <v>226.34094569312174</v>
          </cell>
        </row>
        <row r="16">
          <cell r="K16" t="str">
            <v>UKP millions</v>
          </cell>
          <cell r="L16" t="str">
            <v>v3</v>
          </cell>
          <cell r="M16">
            <v>38008.59294386574</v>
          </cell>
        </row>
        <row r="17">
          <cell r="K17" t="str">
            <v>UKP millions</v>
          </cell>
          <cell r="L17" t="str">
            <v>v3</v>
          </cell>
          <cell r="M17">
            <v>38008.59294386574</v>
          </cell>
          <cell r="W17">
            <v>721.7593283582089</v>
          </cell>
          <cell r="X17">
            <v>810.6343283582089</v>
          </cell>
          <cell r="Y17">
            <v>1081.6809701492537</v>
          </cell>
          <cell r="Z17">
            <v>1535.1940298507461</v>
          </cell>
          <cell r="AA17">
            <v>1941.75</v>
          </cell>
          <cell r="AB17">
            <v>1898.57</v>
          </cell>
          <cell r="AC17">
            <v>1769.3858</v>
          </cell>
          <cell r="AD17">
            <v>1663.2226519999999</v>
          </cell>
          <cell r="AE17">
            <v>1587.9857739199999</v>
          </cell>
          <cell r="AF17">
            <v>1524.4663429631996</v>
          </cell>
          <cell r="AG17">
            <v>1463.4876892446719</v>
          </cell>
          <cell r="AH17">
            <v>1404.9481816748851</v>
          </cell>
          <cell r="AI17">
            <v>1348.7502544078893</v>
          </cell>
          <cell r="AJ17">
            <v>1294.8002442315737</v>
          </cell>
          <cell r="AK17">
            <v>1243.0082344623108</v>
          </cell>
          <cell r="AL17">
            <v>1193.2879050838183</v>
          </cell>
        </row>
        <row r="18">
          <cell r="K18" t="str">
            <v>UKP millions</v>
          </cell>
          <cell r="L18" t="str">
            <v>v3</v>
          </cell>
          <cell r="M18">
            <v>38008.59294386574</v>
          </cell>
          <cell r="W18">
            <v>448.97867803837971</v>
          </cell>
          <cell r="X18">
            <v>504.26439232409399</v>
          </cell>
          <cell r="Y18">
            <v>672.87206823027725</v>
          </cell>
          <cell r="Z18">
            <v>954.98507462686575</v>
          </cell>
          <cell r="AA18">
            <v>1239.75</v>
          </cell>
          <cell r="AB18">
            <v>1309</v>
          </cell>
          <cell r="AC18">
            <v>1279.5475000000001</v>
          </cell>
          <cell r="AD18">
            <v>1241.161075</v>
          </cell>
          <cell r="AE18">
            <v>1203.9262427499998</v>
          </cell>
          <cell r="AF18">
            <v>1194.6889569999998</v>
          </cell>
          <cell r="AG18">
            <v>1194.6889569999998</v>
          </cell>
          <cell r="AH18">
            <v>1194.6889569999998</v>
          </cell>
          <cell r="AI18">
            <v>1194.6889569999998</v>
          </cell>
          <cell r="AJ18">
            <v>1194.6889569999998</v>
          </cell>
          <cell r="AK18">
            <v>1194.6889569999998</v>
          </cell>
          <cell r="AL18">
            <v>1194.6889569999998</v>
          </cell>
        </row>
        <row r="19">
          <cell r="K19" t="str">
            <v>UKP millions</v>
          </cell>
          <cell r="L19" t="str">
            <v>v3</v>
          </cell>
          <cell r="M19">
            <v>38008.59294386574</v>
          </cell>
          <cell r="W19">
            <v>1170.7380063965884</v>
          </cell>
          <cell r="X19">
            <v>1314.8987206823028</v>
          </cell>
          <cell r="Y19">
            <v>1754.553038379531</v>
          </cell>
          <cell r="Z19">
            <v>2490.1791044776119</v>
          </cell>
          <cell r="AA19">
            <v>3181.5</v>
          </cell>
          <cell r="AB19">
            <v>3207.57</v>
          </cell>
          <cell r="AC19">
            <v>3048.9333000000001</v>
          </cell>
          <cell r="AD19">
            <v>2904.3837269999999</v>
          </cell>
          <cell r="AE19">
            <v>2791.91201667</v>
          </cell>
          <cell r="AF19">
            <v>2719.1552999631995</v>
          </cell>
          <cell r="AG19">
            <v>2658.1766462446712</v>
          </cell>
          <cell r="AH19">
            <v>2599.6371386748847</v>
          </cell>
          <cell r="AI19">
            <v>2543.4392114078892</v>
          </cell>
          <cell r="AJ19">
            <v>2489.4892012315736</v>
          </cell>
          <cell r="AK19">
            <v>2437.6971914623105</v>
          </cell>
          <cell r="AL19">
            <v>2387.9768620838181</v>
          </cell>
        </row>
        <row r="20">
          <cell r="K20" t="str">
            <v>UKP millions</v>
          </cell>
          <cell r="L20" t="str">
            <v>v3</v>
          </cell>
          <cell r="M20">
            <v>38008.59294386574</v>
          </cell>
          <cell r="AA20">
            <v>3526.25</v>
          </cell>
          <cell r="AB20">
            <v>3568.75</v>
          </cell>
          <cell r="AC20">
            <v>3379.3755676171058</v>
          </cell>
          <cell r="AD20">
            <v>3298.5749182386253</v>
          </cell>
          <cell r="AE20">
            <v>3145.9653381545349</v>
          </cell>
          <cell r="AF20">
            <v>2881.3205106237197</v>
          </cell>
          <cell r="AG20">
            <v>2782.9427830078894</v>
          </cell>
          <cell r="AH20">
            <v>2767.4110012104338</v>
          </cell>
          <cell r="AI20">
            <v>2737.5595262474358</v>
          </cell>
          <cell r="AJ20">
            <v>2703.5233519995113</v>
          </cell>
          <cell r="AK20">
            <v>2663.7601219484818</v>
          </cell>
          <cell r="AL20">
            <v>2614.3178077769398</v>
          </cell>
        </row>
        <row r="21">
          <cell r="K21" t="str">
            <v>UKP millions</v>
          </cell>
          <cell r="L21" t="str">
            <v>v3</v>
          </cell>
          <cell r="M21">
            <v>38008.59294386574</v>
          </cell>
          <cell r="AA21">
            <v>819.37999999999988</v>
          </cell>
          <cell r="AB21">
            <v>445.25</v>
          </cell>
          <cell r="AC21">
            <v>582.88414993538868</v>
          </cell>
          <cell r="AD21">
            <v>641.48201070082541</v>
          </cell>
          <cell r="AE21">
            <v>699.17210170468263</v>
          </cell>
          <cell r="AF21">
            <v>755.82983505789366</v>
          </cell>
          <cell r="AG21">
            <v>809.80310581909021</v>
          </cell>
          <cell r="AH21">
            <v>853.8763578963642</v>
          </cell>
          <cell r="AI21">
            <v>888.39280864194222</v>
          </cell>
          <cell r="AJ21">
            <v>919.94926442896531</v>
          </cell>
          <cell r="AK21">
            <v>950.43277877101912</v>
          </cell>
          <cell r="AL21">
            <v>975.29784627268793</v>
          </cell>
        </row>
        <row r="22">
          <cell r="K22" t="str">
            <v>UKP millions</v>
          </cell>
          <cell r="L22" t="str">
            <v>v3</v>
          </cell>
          <cell r="M22">
            <v>38008.59294386574</v>
          </cell>
          <cell r="AA22">
            <v>16733.399999999998</v>
          </cell>
          <cell r="AB22">
            <v>17384</v>
          </cell>
          <cell r="AC22">
            <v>18029.450728652584</v>
          </cell>
          <cell r="AD22">
            <v>17757.37770185859</v>
          </cell>
          <cell r="AE22">
            <v>17654.822406528539</v>
          </cell>
          <cell r="AF22">
            <v>17719.599493831636</v>
          </cell>
          <cell r="AG22">
            <v>17721.973994657415</v>
          </cell>
          <cell r="AH22">
            <v>17761.351714349792</v>
          </cell>
          <cell r="AI22">
            <v>17713.159440753698</v>
          </cell>
          <cell r="AJ22">
            <v>17645.013725580375</v>
          </cell>
          <cell r="AK22">
            <v>17554.50659382543</v>
          </cell>
          <cell r="AL22">
            <v>17413.357518694291</v>
          </cell>
        </row>
        <row r="24">
          <cell r="L24" t="str">
            <v>v3</v>
          </cell>
          <cell r="M24">
            <v>38008.59294386574</v>
          </cell>
        </row>
        <row r="25">
          <cell r="L25" t="str">
            <v>v3</v>
          </cell>
          <cell r="M25">
            <v>38008.59294386574</v>
          </cell>
        </row>
        <row r="26">
          <cell r="L26" t="str">
            <v>v3</v>
          </cell>
          <cell r="M26">
            <v>38008.59294386574</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row>
        <row r="27">
          <cell r="K27" t="str">
            <v>UKP millions</v>
          </cell>
          <cell r="L27" t="str">
            <v>v3</v>
          </cell>
          <cell r="M27">
            <v>38008.59294386574</v>
          </cell>
        </row>
        <row r="28">
          <cell r="K28" t="str">
            <v>UKP millions</v>
          </cell>
          <cell r="L28" t="str">
            <v>v3</v>
          </cell>
          <cell r="M28">
            <v>38008.59294386574</v>
          </cell>
        </row>
        <row r="29">
          <cell r="K29" t="str">
            <v>UKP millions</v>
          </cell>
          <cell r="L29" t="str">
            <v>v3</v>
          </cell>
          <cell r="M29">
            <v>38008.59294386574</v>
          </cell>
          <cell r="AA29" t="e">
            <v>#REF!</v>
          </cell>
          <cell r="AB29" t="e">
            <v>#REF!</v>
          </cell>
          <cell r="AC29" t="e">
            <v>#REF!</v>
          </cell>
          <cell r="AD29" t="e">
            <v>#REF!</v>
          </cell>
          <cell r="AE29" t="e">
            <v>#REF!</v>
          </cell>
          <cell r="AF29" t="e">
            <v>#REF!</v>
          </cell>
          <cell r="AG29" t="e">
            <v>#REF!</v>
          </cell>
          <cell r="AH29" t="e">
            <v>#REF!</v>
          </cell>
          <cell r="AI29" t="e">
            <v>#REF!</v>
          </cell>
          <cell r="AJ29" t="e">
            <v>#REF!</v>
          </cell>
          <cell r="AK29" t="e">
            <v>#REF!</v>
          </cell>
          <cell r="AL29" t="e">
            <v>#REF!</v>
          </cell>
        </row>
        <row r="31">
          <cell r="L31" t="str">
            <v>v3</v>
          </cell>
          <cell r="M31">
            <v>38008.59294386574</v>
          </cell>
        </row>
        <row r="32">
          <cell r="L32" t="str">
            <v>v3</v>
          </cell>
          <cell r="M32">
            <v>38008.59294386574</v>
          </cell>
        </row>
        <row r="33">
          <cell r="L33" t="str">
            <v>v3</v>
          </cell>
          <cell r="M33">
            <v>38008.59294386574</v>
          </cell>
        </row>
        <row r="34">
          <cell r="L34" t="str">
            <v>v3</v>
          </cell>
          <cell r="M34">
            <v>38008.59294386574</v>
          </cell>
        </row>
        <row r="35">
          <cell r="L35" t="str">
            <v>v3</v>
          </cell>
          <cell r="M35">
            <v>38008.59294386574</v>
          </cell>
          <cell r="W35" t="e">
            <v>#REF!</v>
          </cell>
          <cell r="X35" t="e">
            <v>#REF!</v>
          </cell>
          <cell r="Y35" t="e">
            <v>#REF!</v>
          </cell>
          <cell r="Z35" t="e">
            <v>#REF!</v>
          </cell>
          <cell r="AA35" t="e">
            <v>#REF!</v>
          </cell>
          <cell r="AB35" t="e">
            <v>#REF!</v>
          </cell>
          <cell r="AC35" t="e">
            <v>#REF!</v>
          </cell>
          <cell r="AD35" t="e">
            <v>#REF!</v>
          </cell>
          <cell r="AE35" t="e">
            <v>#REF!</v>
          </cell>
          <cell r="AF35" t="e">
            <v>#REF!</v>
          </cell>
          <cell r="AG35" t="e">
            <v>#REF!</v>
          </cell>
          <cell r="AH35" t="e">
            <v>#REF!</v>
          </cell>
          <cell r="AI35" t="e">
            <v>#REF!</v>
          </cell>
          <cell r="AJ35" t="e">
            <v>#REF!</v>
          </cell>
          <cell r="AK35" t="e">
            <v>#REF!</v>
          </cell>
          <cell r="AL35" t="e">
            <v>#REF!</v>
          </cell>
        </row>
        <row r="36">
          <cell r="L36" t="str">
            <v>v3</v>
          </cell>
          <cell r="M36">
            <v>38008.59294386574</v>
          </cell>
        </row>
        <row r="37">
          <cell r="L37" t="str">
            <v>v3</v>
          </cell>
          <cell r="M37">
            <v>38008.59294386574</v>
          </cell>
        </row>
        <row r="38">
          <cell r="L38" t="str">
            <v>v3</v>
          </cell>
          <cell r="M38">
            <v>38008.59294386574</v>
          </cell>
        </row>
        <row r="39">
          <cell r="L39" t="str">
            <v>v3</v>
          </cell>
          <cell r="M39">
            <v>38008.59294386574</v>
          </cell>
        </row>
        <row r="40">
          <cell r="L40" t="str">
            <v>v3</v>
          </cell>
          <cell r="M40">
            <v>38008.59294386574</v>
          </cell>
        </row>
        <row r="41">
          <cell r="L41" t="str">
            <v>v3</v>
          </cell>
          <cell r="M41">
            <v>38008.59294386574</v>
          </cell>
        </row>
        <row r="42">
          <cell r="L42" t="str">
            <v>v3</v>
          </cell>
          <cell r="M42">
            <v>38008.59294386574</v>
          </cell>
        </row>
        <row r="43">
          <cell r="L43" t="str">
            <v>v3</v>
          </cell>
          <cell r="M43">
            <v>38008.59294386574</v>
          </cell>
          <cell r="W43" t="e">
            <v>#REF!</v>
          </cell>
          <cell r="X43" t="e">
            <v>#REF!</v>
          </cell>
          <cell r="Y43" t="e">
            <v>#REF!</v>
          </cell>
          <cell r="Z43" t="e">
            <v>#REF!</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row>
        <row r="44">
          <cell r="L44" t="str">
            <v>v3</v>
          </cell>
          <cell r="M44">
            <v>38008.59294386574</v>
          </cell>
          <cell r="W44">
            <v>26582</v>
          </cell>
          <cell r="X44">
            <v>25816</v>
          </cell>
          <cell r="Y44">
            <v>25703</v>
          </cell>
          <cell r="Z44">
            <v>25306</v>
          </cell>
          <cell r="AA44">
            <v>25036</v>
          </cell>
          <cell r="AB44">
            <v>25402</v>
          </cell>
          <cell r="AC44">
            <v>25345</v>
          </cell>
          <cell r="AD44">
            <v>24885.325423607123</v>
          </cell>
          <cell r="AE44">
            <v>24330.42903683228</v>
          </cell>
          <cell r="AF44">
            <v>23784.142045250574</v>
          </cell>
          <cell r="AG44">
            <v>23246.347750596819</v>
          </cell>
          <cell r="AH44">
            <v>22716.930927631613</v>
          </cell>
          <cell r="AI44">
            <v>22195.777806350652</v>
          </cell>
          <cell r="AJ44">
            <v>21682.776054402548</v>
          </cell>
          <cell r="AK44">
            <v>21177.814759712768</v>
          </cell>
          <cell r="AL44">
            <v>20680.784413311347</v>
          </cell>
        </row>
        <row r="45">
          <cell r="L45" t="str">
            <v>v3</v>
          </cell>
          <cell r="M45">
            <v>38008.59294386574</v>
          </cell>
          <cell r="W45" t="e">
            <v>#REF!</v>
          </cell>
          <cell r="X45" t="e">
            <v>#REF!</v>
          </cell>
          <cell r="Y45" t="e">
            <v>#REF!</v>
          </cell>
          <cell r="Z45" t="e">
            <v>#REF!</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row>
        <row r="46">
          <cell r="L46" t="str">
            <v>v3</v>
          </cell>
          <cell r="M46">
            <v>38008.59294386574</v>
          </cell>
          <cell r="W46" t="e">
            <v>#REF!</v>
          </cell>
          <cell r="X46" t="e">
            <v>#REF!</v>
          </cell>
          <cell r="Y46" t="e">
            <v>#REF!</v>
          </cell>
          <cell r="Z46" t="e">
            <v>#REF!</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row>
        <row r="48">
          <cell r="L48" t="str">
            <v>v3</v>
          </cell>
          <cell r="M48">
            <v>38008.59294386574</v>
          </cell>
          <cell r="AA48">
            <v>85523</v>
          </cell>
          <cell r="AB48">
            <v>82490</v>
          </cell>
        </row>
      </sheetData>
      <sheetData sheetId="15"/>
      <sheetData sheetId="16"/>
      <sheetData sheetId="17"/>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ont"/>
      <sheetName val="PL"/>
      <sheetName val="IC-PL"/>
      <sheetName val="EXT-INC"/>
      <sheetName val="TRAF-COST"/>
      <sheetName val="INT-traf-cost"/>
      <sheetName val="OWN-WORK-CAP"/>
      <sheetName val="PAYROLL"/>
      <sheetName val="OPR-COST"/>
      <sheetName val="INT-OPR-COST"/>
      <sheetName val="FIN-PL"/>
      <sheetName val="Investments"/>
      <sheetName val="M-BALANCE"/>
      <sheetName val="IC-BAL"/>
      <sheetName val="CASH"/>
      <sheetName val="PROVISIONS"/>
      <sheetName val="EQUITY"/>
      <sheetName val="COMMITMENTS"/>
      <sheetName val="PERS-ADD"/>
      <sheetName val="AQUISITIONS"/>
      <sheetName val="Statistics"/>
      <sheetName val="Definitions"/>
    </sheetNames>
    <sheetDataSet>
      <sheetData sheetId="0" refreshError="1">
        <row r="10">
          <cell r="E10" t="str">
            <v>&lt;Code&gt;</v>
          </cell>
        </row>
        <row r="11">
          <cell r="E11" t="str">
            <v>&lt;Name&gt;</v>
          </cell>
        </row>
        <row r="12">
          <cell r="E12" t="str">
            <v>0006</v>
          </cell>
        </row>
        <row r="15">
          <cell r="E15" t="str">
            <v>NOK</v>
          </cell>
        </row>
        <row r="16">
          <cell r="E16">
            <v>36692</v>
          </cell>
        </row>
        <row r="20">
          <cell r="E20" t="str">
            <v>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TP"/>
      <sheetName val="P&amp;L"/>
      <sheetName val="BS"/>
      <sheetName val="CF"/>
      <sheetName val="Cons. Revs"/>
      <sheetName val="Prop. Revs"/>
      <sheetName val="Cons. EBITDA"/>
      <sheetName val="Prop. EBITDA"/>
      <sheetName val="EBITDA Margins"/>
      <sheetName val="Capex"/>
      <sheetName val="USA"/>
      <sheetName val="UK"/>
      <sheetName val="Germany"/>
      <sheetName val="Italy"/>
      <sheetName val="J-Phone"/>
      <sheetName val="Spain"/>
      <sheetName val="Ireland"/>
      <sheetName val="Egypt"/>
      <sheetName val="Australia"/>
      <sheetName val="NZ"/>
      <sheetName val="NL"/>
      <sheetName val="Greece"/>
      <sheetName val="Portugal"/>
      <sheetName val="Sweden"/>
      <sheetName val="Switzerland"/>
      <sheetName val="Jap Fixed"/>
      <sheetName val="SFR"/>
      <sheetName val="Belgium"/>
      <sheetName val="Arcor"/>
      <sheetName val="Cegetel7"/>
      <sheetName val="Depreciaton schedule"/>
      <sheetName val="Cash Tax"/>
      <sheetName val="Bill"/>
      <sheetName val="Multip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TP"/>
      <sheetName val="P&amp;L"/>
      <sheetName val="BS"/>
      <sheetName val="CF"/>
      <sheetName val="Cons. Revs"/>
      <sheetName val="Prop. Revs"/>
      <sheetName val="Cons. EBITDA"/>
      <sheetName val="Prop. EBITDA"/>
      <sheetName val="EBITDA Margins"/>
      <sheetName val="Capex"/>
      <sheetName val="USA"/>
      <sheetName val="UK"/>
      <sheetName val="Germany"/>
      <sheetName val="Italy"/>
      <sheetName val="J-Phone"/>
      <sheetName val="Spain"/>
      <sheetName val="Ireland"/>
      <sheetName val="Egypt"/>
      <sheetName val="Australia"/>
      <sheetName val="NZ"/>
      <sheetName val="NL"/>
      <sheetName val="Greece"/>
      <sheetName val="Portugal"/>
      <sheetName val="Sweden"/>
      <sheetName val="Switzerland"/>
      <sheetName val="Jap Fixed"/>
      <sheetName val="SFR"/>
      <sheetName val="Belgium"/>
      <sheetName val="Arcor"/>
      <sheetName val="Cegetel7"/>
      <sheetName val="Depreciaton schedule"/>
      <sheetName val="Cash Tax"/>
      <sheetName val="Bill"/>
      <sheetName val="Multip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s - Run"/>
      <sheetName val="Analysts"/>
      <sheetName val="Contents (US$)"/>
      <sheetName val="Output page - US$"/>
      <sheetName val="Drivers - US$"/>
      <sheetName val="JT Global Link Page"/>
      <sheetName val="NTT Global Link Page"/>
      <sheetName val="KDDI Global Link Page"/>
      <sheetName val="Docomo Global Link Page"/>
      <sheetName val="Contents Local"/>
      <sheetName val="Output page - Local"/>
      <sheetName val="Drivers - Local"/>
      <sheetName val="Ratio's Defined"/>
      <sheetName val="Created Indices"/>
      <sheetName val="Recognised Indices"/>
      <sheetName val="Price Relative"/>
      <sheetName val="Global Link Page"/>
      <sheetName val="Conditional Formatting"/>
      <sheetName val="Sum of parts (1)"/>
      <sheetName val="Sum of parts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56">
          <cell r="AC56" t="str">
            <v>DJ EURO STOXX  - performance comparison (US$) *</v>
          </cell>
        </row>
        <row r="57">
          <cell r="AC57" t="str">
            <v xml:space="preserve"> -  7 Days</v>
          </cell>
          <cell r="AD57" t="str">
            <v xml:space="preserve"> - 1 Month</v>
          </cell>
          <cell r="AE57" t="str">
            <v xml:space="preserve"> -  3 Months</v>
          </cell>
          <cell r="AF57" t="str">
            <v xml:space="preserve"> - 1 Year</v>
          </cell>
          <cell r="AG57" t="str">
            <v xml:space="preserve"> - 15 Months</v>
          </cell>
          <cell r="AH57" t="str">
            <v xml:space="preserve"> - 18 Months</v>
          </cell>
          <cell r="AI57" t="str">
            <v xml:space="preserve"> - 2 Years</v>
          </cell>
        </row>
        <row r="60">
          <cell r="AC60" t="e">
            <v>#DIV/0!</v>
          </cell>
          <cell r="AD60" t="e">
            <v>#DIV/0!</v>
          </cell>
          <cell r="AE60" t="e">
            <v>#DIV/0!</v>
          </cell>
          <cell r="AF60" t="e">
            <v>#DIV/0!</v>
          </cell>
          <cell r="AG60" t="e">
            <v>#DIV/0!</v>
          </cell>
          <cell r="AH60" t="e">
            <v>#DIV/0!</v>
          </cell>
          <cell r="AI60" t="e">
            <v>#DIV/0!</v>
          </cell>
        </row>
        <row r="61">
          <cell r="AC61" t="e">
            <v>#DIV/0!</v>
          </cell>
          <cell r="AD61" t="e">
            <v>#DIV/0!</v>
          </cell>
          <cell r="AE61" t="e">
            <v>#DIV/0!</v>
          </cell>
          <cell r="AF61" t="e">
            <v>#DIV/0!</v>
          </cell>
          <cell r="AG61" t="e">
            <v>#DIV/0!</v>
          </cell>
          <cell r="AH61" t="e">
            <v>#DIV/0!</v>
          </cell>
          <cell r="AI61" t="e">
            <v>#DIV/0!</v>
          </cell>
        </row>
        <row r="62">
          <cell r="AC62" t="e">
            <v>#DIV/0!</v>
          </cell>
          <cell r="AD62" t="e">
            <v>#DIV/0!</v>
          </cell>
          <cell r="AE62" t="e">
            <v>#DIV/0!</v>
          </cell>
          <cell r="AF62" t="e">
            <v>#DIV/0!</v>
          </cell>
          <cell r="AG62" t="e">
            <v>#DIV/0!</v>
          </cell>
          <cell r="AH62" t="e">
            <v>#DIV/0!</v>
          </cell>
          <cell r="AI62" t="e">
            <v>#DIV/0!</v>
          </cell>
        </row>
        <row r="65">
          <cell r="AC65" t="e">
            <v>#DIV/0!</v>
          </cell>
          <cell r="AD65" t="e">
            <v>#DIV/0!</v>
          </cell>
          <cell r="AE65" t="e">
            <v>#DIV/0!</v>
          </cell>
          <cell r="AF65" t="e">
            <v>#DIV/0!</v>
          </cell>
          <cell r="AG65" t="e">
            <v>#DIV/0!</v>
          </cell>
          <cell r="AH65" t="e">
            <v>#DIV/0!</v>
          </cell>
          <cell r="AI65" t="e">
            <v>#DIV/0!</v>
          </cell>
        </row>
      </sheetData>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es"/>
      <sheetName val="Sheet1"/>
      <sheetName val="Sheet2"/>
      <sheetName val="Sheet3"/>
      <sheetName val="RAK1"/>
    </sheetNames>
    <sheetDataSet>
      <sheetData sheetId="0"/>
      <sheetData sheetId="1"/>
      <sheetData sheetId="2"/>
      <sheetData sheetId="3"/>
      <sheetData sheetId="4">
        <row r="9">
          <cell r="AB9" t="str">
            <v>KT</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New AVCo">
    <a:dk1>
      <a:srgbClr val="0D355B"/>
    </a:dk1>
    <a:lt1>
      <a:srgbClr val="FFFFFF"/>
    </a:lt1>
    <a:dk2>
      <a:srgbClr val="4D96E5"/>
    </a:dk2>
    <a:lt2>
      <a:srgbClr val="3250BE"/>
    </a:lt2>
    <a:accent1>
      <a:srgbClr val="A4B8F2"/>
    </a:accent1>
    <a:accent2>
      <a:srgbClr val="BAA48B"/>
    </a:accent2>
    <a:accent3>
      <a:srgbClr val="0A5268"/>
    </a:accent3>
    <a:accent4>
      <a:srgbClr val="FFFF99"/>
    </a:accent4>
    <a:accent5>
      <a:srgbClr val="F24E4A"/>
    </a:accent5>
    <a:accent6>
      <a:srgbClr val="3AC943"/>
    </a:accent6>
    <a:hlink>
      <a:srgbClr val="2985E0"/>
    </a:hlink>
    <a:folHlink>
      <a:srgbClr val="7030A0"/>
    </a:folHlink>
  </a:clrScheme>
  <a:fontScheme name="New AVCo">
    <a:majorFont>
      <a:latin typeface="Segoe UI"/>
      <a:ea typeface=""/>
      <a:cs typeface=""/>
    </a:majorFont>
    <a:minorFont>
      <a:latin typeface="Segoe U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66"/>
  <sheetViews>
    <sheetView tabSelected="1" zoomScale="55" zoomScaleNormal="55" workbookViewId="0">
      <pane ySplit="2" topLeftCell="A3" activePane="bottomLeft" state="frozen"/>
      <selection pane="bottomLeft" activeCell="T41" sqref="T41"/>
    </sheetView>
  </sheetViews>
  <sheetFormatPr defaultColWidth="9.21875" defaultRowHeight="15.6" x14ac:dyDescent="0.3"/>
  <cols>
    <col min="1" max="2" width="9.21875" style="360"/>
    <col min="3" max="3" width="53.21875" style="360" customWidth="1"/>
    <col min="4" max="7" width="9.21875" style="360"/>
    <col min="8" max="8" width="14.6640625" style="360" customWidth="1"/>
    <col min="9" max="16" width="9.21875" style="360"/>
    <col min="17" max="17" width="16.21875" style="360" customWidth="1"/>
    <col min="18" max="16384" width="9.21875" style="360"/>
  </cols>
  <sheetData>
    <row r="1" spans="1:8" s="359" customFormat="1" ht="21" x14ac:dyDescent="0.4">
      <c r="A1" s="358" t="s">
        <v>34</v>
      </c>
    </row>
    <row r="2" spans="1:8" s="359" customFormat="1" x14ac:dyDescent="0.3">
      <c r="A2" s="359" t="s">
        <v>158</v>
      </c>
    </row>
    <row r="4" spans="1:8" ht="17.25" customHeight="1" x14ac:dyDescent="0.3">
      <c r="A4" s="360" t="s">
        <v>25</v>
      </c>
      <c r="B4" s="361" t="s">
        <v>26</v>
      </c>
      <c r="C4" s="360" t="s">
        <v>65</v>
      </c>
      <c r="H4" s="362" t="s">
        <v>160</v>
      </c>
    </row>
    <row r="5" spans="1:8" ht="17.25" customHeight="1" x14ac:dyDescent="0.3">
      <c r="B5" s="361" t="s">
        <v>27</v>
      </c>
      <c r="C5" s="360" t="s">
        <v>35</v>
      </c>
      <c r="H5" s="360" t="s">
        <v>403</v>
      </c>
    </row>
    <row r="6" spans="1:8" ht="17.25" customHeight="1" x14ac:dyDescent="0.3">
      <c r="B6" s="361" t="s">
        <v>28</v>
      </c>
      <c r="C6" s="360" t="s">
        <v>66</v>
      </c>
    </row>
    <row r="7" spans="1:8" ht="17.25" customHeight="1" x14ac:dyDescent="0.3">
      <c r="B7" s="361" t="s">
        <v>29</v>
      </c>
      <c r="C7" s="360" t="s">
        <v>36</v>
      </c>
    </row>
    <row r="8" spans="1:8" ht="17.25" customHeight="1" x14ac:dyDescent="0.3"/>
    <row r="9" spans="1:8" ht="17.25" customHeight="1" x14ac:dyDescent="0.3"/>
    <row r="10" spans="1:8" ht="17.25" customHeight="1" x14ac:dyDescent="0.3">
      <c r="B10" s="363" t="s">
        <v>37</v>
      </c>
    </row>
    <row r="11" spans="1:8" ht="17.25" customHeight="1" x14ac:dyDescent="0.3">
      <c r="B11" s="364"/>
      <c r="C11" s="360" t="s">
        <v>161</v>
      </c>
    </row>
    <row r="12" spans="1:8" ht="17.25" customHeight="1" x14ac:dyDescent="0.3">
      <c r="B12" s="359"/>
      <c r="C12" s="360" t="s">
        <v>38</v>
      </c>
    </row>
    <row r="13" spans="1:8" ht="17.25" customHeight="1" x14ac:dyDescent="0.3">
      <c r="B13" s="365"/>
      <c r="C13" s="360" t="s">
        <v>39</v>
      </c>
    </row>
    <row r="14" spans="1:8" ht="17.25" customHeight="1" x14ac:dyDescent="0.3"/>
    <row r="15" spans="1:8" ht="17.25" customHeight="1" x14ac:dyDescent="0.3"/>
    <row r="16" spans="1:8" ht="17.25" customHeight="1" x14ac:dyDescent="0.3"/>
    <row r="17" spans="8:17" ht="17.25" customHeight="1" x14ac:dyDescent="0.3"/>
    <row r="18" spans="8:17" ht="17.25" customHeight="1" x14ac:dyDescent="0.3"/>
    <row r="19" spans="8:17" ht="17.25" customHeight="1" x14ac:dyDescent="0.3"/>
    <row r="20" spans="8:17" ht="17.25" customHeight="1" x14ac:dyDescent="0.3"/>
    <row r="21" spans="8:17" ht="17.25" customHeight="1" x14ac:dyDescent="0.3"/>
    <row r="22" spans="8:17" ht="17.25" customHeight="1" x14ac:dyDescent="0.3"/>
    <row r="23" spans="8:17" ht="17.25" customHeight="1" x14ac:dyDescent="0.3"/>
    <row r="24" spans="8:17" ht="17.25" customHeight="1" x14ac:dyDescent="0.3"/>
    <row r="25" spans="8:17" ht="17.25" customHeight="1" x14ac:dyDescent="0.3">
      <c r="H25" s="366"/>
    </row>
    <row r="26" spans="8:17" ht="17.25" customHeight="1" x14ac:dyDescent="0.35">
      <c r="H26" s="367" t="s">
        <v>189</v>
      </c>
    </row>
    <row r="27" spans="8:17" ht="17.25" customHeight="1" x14ac:dyDescent="0.3">
      <c r="H27" s="366"/>
    </row>
    <row r="28" spans="8:17" ht="17.25" customHeight="1" x14ac:dyDescent="0.3">
      <c r="H28" s="414" t="s">
        <v>438</v>
      </c>
      <c r="I28" s="414"/>
      <c r="J28" s="414"/>
      <c r="K28" s="414"/>
      <c r="L28" s="414"/>
      <c r="M28" s="414"/>
      <c r="N28" s="414"/>
      <c r="O28" s="414"/>
      <c r="P28" s="414"/>
      <c r="Q28" s="414"/>
    </row>
    <row r="29" spans="8:17" ht="17.25" customHeight="1" x14ac:dyDescent="0.3">
      <c r="H29" s="414"/>
      <c r="I29" s="414"/>
      <c r="J29" s="414"/>
      <c r="K29" s="414"/>
      <c r="L29" s="414"/>
      <c r="M29" s="414"/>
      <c r="N29" s="414"/>
      <c r="O29" s="414"/>
      <c r="P29" s="414"/>
      <c r="Q29" s="414"/>
    </row>
    <row r="30" spans="8:17" ht="17.25" customHeight="1" x14ac:dyDescent="0.3">
      <c r="H30" s="414"/>
      <c r="I30" s="414"/>
      <c r="J30" s="414"/>
      <c r="K30" s="414"/>
      <c r="L30" s="414"/>
      <c r="M30" s="414"/>
      <c r="N30" s="414"/>
      <c r="O30" s="414"/>
      <c r="P30" s="414"/>
      <c r="Q30" s="414"/>
    </row>
    <row r="31" spans="8:17" ht="17.25" customHeight="1" x14ac:dyDescent="0.3">
      <c r="H31" s="414"/>
      <c r="I31" s="414"/>
      <c r="J31" s="414"/>
      <c r="K31" s="414"/>
      <c r="L31" s="414"/>
      <c r="M31" s="414"/>
      <c r="N31" s="414"/>
      <c r="O31" s="414"/>
      <c r="P31" s="414"/>
      <c r="Q31" s="414"/>
    </row>
    <row r="32" spans="8:17" ht="17.25" customHeight="1" x14ac:dyDescent="0.3">
      <c r="H32" s="414"/>
      <c r="I32" s="414"/>
      <c r="J32" s="414"/>
      <c r="K32" s="414"/>
      <c r="L32" s="414"/>
      <c r="M32" s="414"/>
      <c r="N32" s="414"/>
      <c r="O32" s="414"/>
      <c r="P32" s="414"/>
      <c r="Q32" s="414"/>
    </row>
    <row r="33" spans="8:17" ht="14.4" customHeight="1" x14ac:dyDescent="0.3">
      <c r="H33" s="414"/>
      <c r="I33" s="414"/>
      <c r="J33" s="414"/>
      <c r="K33" s="414"/>
      <c r="L33" s="414"/>
      <c r="M33" s="414"/>
      <c r="N33" s="414"/>
      <c r="O33" s="414"/>
      <c r="P33" s="414"/>
      <c r="Q33" s="414"/>
    </row>
    <row r="34" spans="8:17" ht="16.8" hidden="1" customHeight="1" x14ac:dyDescent="0.3">
      <c r="H34" s="414"/>
      <c r="I34" s="414"/>
      <c r="J34" s="414"/>
      <c r="K34" s="414"/>
      <c r="L34" s="414"/>
      <c r="M34" s="414"/>
      <c r="N34" s="414"/>
      <c r="O34" s="414"/>
      <c r="P34" s="414"/>
      <c r="Q34" s="414"/>
    </row>
    <row r="35" spans="8:17" ht="16.8" hidden="1" customHeight="1" x14ac:dyDescent="0.3">
      <c r="H35" s="414"/>
      <c r="I35" s="414"/>
      <c r="J35" s="414"/>
      <c r="K35" s="414"/>
      <c r="L35" s="414"/>
      <c r="M35" s="414"/>
      <c r="N35" s="414"/>
      <c r="O35" s="414"/>
      <c r="P35" s="414"/>
      <c r="Q35" s="414"/>
    </row>
    <row r="36" spans="8:17" hidden="1" x14ac:dyDescent="0.3">
      <c r="H36" s="414"/>
      <c r="I36" s="414"/>
      <c r="J36" s="414"/>
      <c r="K36" s="414"/>
      <c r="L36" s="414"/>
      <c r="M36" s="414"/>
      <c r="N36" s="414"/>
      <c r="O36" s="414"/>
      <c r="P36" s="414"/>
      <c r="Q36" s="414"/>
    </row>
    <row r="37" spans="8:17" hidden="1" x14ac:dyDescent="0.3">
      <c r="H37" s="415"/>
      <c r="I37" s="415"/>
      <c r="J37" s="415"/>
      <c r="K37" s="415"/>
      <c r="L37" s="415"/>
      <c r="M37" s="415"/>
      <c r="N37" s="415"/>
      <c r="O37" s="415"/>
      <c r="P37" s="415"/>
      <c r="Q37" s="415"/>
    </row>
    <row r="38" spans="8:17" ht="16.8" hidden="1" customHeight="1" x14ac:dyDescent="0.3">
      <c r="H38" s="415"/>
      <c r="I38" s="415"/>
      <c r="J38" s="415"/>
      <c r="K38" s="415"/>
      <c r="L38" s="415"/>
      <c r="M38" s="415"/>
      <c r="N38" s="415"/>
      <c r="O38" s="415"/>
      <c r="P38" s="415"/>
      <c r="Q38" s="415"/>
    </row>
    <row r="39" spans="8:17" ht="16.8" hidden="1" customHeight="1" x14ac:dyDescent="0.3">
      <c r="H39" s="415"/>
      <c r="I39" s="415"/>
      <c r="J39" s="415"/>
      <c r="K39" s="415"/>
      <c r="L39" s="415"/>
      <c r="M39" s="415"/>
      <c r="N39" s="415"/>
      <c r="O39" s="415"/>
      <c r="P39" s="415"/>
      <c r="Q39" s="415"/>
    </row>
    <row r="40" spans="8:17" ht="16.8" hidden="1" customHeight="1" x14ac:dyDescent="0.3">
      <c r="H40" s="415"/>
      <c r="I40" s="415"/>
      <c r="J40" s="415"/>
      <c r="K40" s="415"/>
      <c r="L40" s="415"/>
      <c r="M40" s="415"/>
      <c r="N40" s="415"/>
      <c r="O40" s="415"/>
      <c r="P40" s="415"/>
      <c r="Q40" s="415"/>
    </row>
    <row r="41" spans="8:17" ht="408.6" customHeight="1" x14ac:dyDescent="0.3">
      <c r="H41" s="415"/>
      <c r="I41" s="415"/>
      <c r="J41" s="415"/>
      <c r="K41" s="415"/>
      <c r="L41" s="415"/>
      <c r="M41" s="415"/>
      <c r="N41" s="415"/>
      <c r="O41" s="415"/>
      <c r="P41" s="415"/>
      <c r="Q41" s="415"/>
    </row>
    <row r="42" spans="8:17" ht="17.25" customHeight="1" x14ac:dyDescent="0.3">
      <c r="H42" s="414" t="s">
        <v>439</v>
      </c>
      <c r="I42" s="414"/>
      <c r="J42" s="414"/>
      <c r="K42" s="414"/>
      <c r="L42" s="414"/>
      <c r="M42" s="414"/>
      <c r="N42" s="414"/>
      <c r="O42" s="414"/>
      <c r="P42" s="414"/>
      <c r="Q42" s="414"/>
    </row>
    <row r="43" spans="8:17" ht="17.25" customHeight="1" x14ac:dyDescent="0.3">
      <c r="H43" s="414"/>
      <c r="I43" s="414"/>
      <c r="J43" s="414"/>
      <c r="K43" s="414"/>
      <c r="L43" s="414"/>
      <c r="M43" s="414"/>
      <c r="N43" s="414"/>
      <c r="O43" s="414"/>
      <c r="P43" s="414"/>
      <c r="Q43" s="414"/>
    </row>
    <row r="44" spans="8:17" ht="17.25" customHeight="1" x14ac:dyDescent="0.3">
      <c r="H44" s="414"/>
      <c r="I44" s="414"/>
      <c r="J44" s="414"/>
      <c r="K44" s="414"/>
      <c r="L44" s="414"/>
      <c r="M44" s="414"/>
      <c r="N44" s="414"/>
      <c r="O44" s="414"/>
      <c r="P44" s="414"/>
      <c r="Q44" s="414"/>
    </row>
    <row r="45" spans="8:17" ht="17.25" customHeight="1" x14ac:dyDescent="0.3">
      <c r="H45" s="414"/>
      <c r="I45" s="414"/>
      <c r="J45" s="414"/>
      <c r="K45" s="414"/>
      <c r="L45" s="414"/>
      <c r="M45" s="414"/>
      <c r="N45" s="414"/>
      <c r="O45" s="414"/>
      <c r="P45" s="414"/>
      <c r="Q45" s="414"/>
    </row>
    <row r="46" spans="8:17" ht="17.25" customHeight="1" x14ac:dyDescent="0.3">
      <c r="H46" s="414"/>
      <c r="I46" s="414"/>
      <c r="J46" s="414"/>
      <c r="K46" s="414"/>
      <c r="L46" s="414"/>
      <c r="M46" s="414"/>
      <c r="N46" s="414"/>
      <c r="O46" s="414"/>
      <c r="P46" s="414"/>
      <c r="Q46" s="414"/>
    </row>
    <row r="47" spans="8:17" ht="17.25" customHeight="1" x14ac:dyDescent="0.3">
      <c r="H47" s="414"/>
      <c r="I47" s="414"/>
      <c r="J47" s="414"/>
      <c r="K47" s="414"/>
      <c r="L47" s="414"/>
      <c r="M47" s="414"/>
      <c r="N47" s="414"/>
      <c r="O47" s="414"/>
      <c r="P47" s="414"/>
      <c r="Q47" s="414"/>
    </row>
    <row r="48" spans="8:17" ht="17.25" customHeight="1" x14ac:dyDescent="0.3">
      <c r="H48" s="414"/>
      <c r="I48" s="414"/>
      <c r="J48" s="414"/>
      <c r="K48" s="414"/>
      <c r="L48" s="414"/>
      <c r="M48" s="414"/>
      <c r="N48" s="414"/>
      <c r="O48" s="414"/>
      <c r="P48" s="414"/>
      <c r="Q48" s="414"/>
    </row>
    <row r="49" spans="8:17" ht="17.25" customHeight="1" x14ac:dyDescent="0.3">
      <c r="H49" s="414"/>
      <c r="I49" s="414"/>
      <c r="J49" s="414"/>
      <c r="K49" s="414"/>
      <c r="L49" s="414"/>
      <c r="M49" s="414"/>
      <c r="N49" s="414"/>
      <c r="O49" s="414"/>
      <c r="P49" s="414"/>
      <c r="Q49" s="414"/>
    </row>
    <row r="50" spans="8:17" ht="17.25" customHeight="1" x14ac:dyDescent="0.3">
      <c r="H50" s="414"/>
      <c r="I50" s="414"/>
      <c r="J50" s="414"/>
      <c r="K50" s="414"/>
      <c r="L50" s="414"/>
      <c r="M50" s="414"/>
      <c r="N50" s="414"/>
      <c r="O50" s="414"/>
      <c r="P50" s="414"/>
      <c r="Q50" s="414"/>
    </row>
    <row r="51" spans="8:17" ht="17.25" customHeight="1" x14ac:dyDescent="0.3">
      <c r="H51" s="415"/>
      <c r="I51" s="415"/>
      <c r="J51" s="415"/>
      <c r="K51" s="415"/>
      <c r="L51" s="415"/>
      <c r="M51" s="415"/>
      <c r="N51" s="415"/>
      <c r="O51" s="415"/>
      <c r="P51" s="415"/>
      <c r="Q51" s="415"/>
    </row>
    <row r="52" spans="8:17" ht="17.25" customHeight="1" x14ac:dyDescent="0.3">
      <c r="H52" s="415"/>
      <c r="I52" s="415"/>
      <c r="J52" s="415"/>
      <c r="K52" s="415"/>
      <c r="L52" s="415"/>
      <c r="M52" s="415"/>
      <c r="N52" s="415"/>
      <c r="O52" s="415"/>
      <c r="P52" s="415"/>
      <c r="Q52" s="415"/>
    </row>
    <row r="53" spans="8:17" ht="17.25" customHeight="1" x14ac:dyDescent="0.3">
      <c r="H53" s="415"/>
      <c r="I53" s="415"/>
      <c r="J53" s="415"/>
      <c r="K53" s="415"/>
      <c r="L53" s="415"/>
      <c r="M53" s="415"/>
      <c r="N53" s="415"/>
      <c r="O53" s="415"/>
      <c r="P53" s="415"/>
      <c r="Q53" s="415"/>
    </row>
    <row r="54" spans="8:17" ht="17.25" customHeight="1" x14ac:dyDescent="0.3">
      <c r="H54" s="415"/>
      <c r="I54" s="415"/>
      <c r="J54" s="415"/>
      <c r="K54" s="415"/>
      <c r="L54" s="415"/>
      <c r="M54" s="415"/>
      <c r="N54" s="415"/>
      <c r="O54" s="415"/>
      <c r="P54" s="415"/>
      <c r="Q54" s="415"/>
    </row>
    <row r="55" spans="8:17" ht="99.6" customHeight="1" x14ac:dyDescent="0.3">
      <c r="H55" s="415"/>
      <c r="I55" s="415"/>
      <c r="J55" s="415"/>
      <c r="K55" s="415"/>
      <c r="L55" s="415"/>
      <c r="M55" s="415"/>
      <c r="N55" s="415"/>
      <c r="O55" s="415"/>
      <c r="P55" s="415"/>
      <c r="Q55" s="415"/>
    </row>
    <row r="56" spans="8:17" ht="17.25" customHeight="1" x14ac:dyDescent="0.3"/>
    <row r="57" spans="8:17" ht="17.25" customHeight="1" x14ac:dyDescent="0.3"/>
    <row r="58" spans="8:17" ht="12" customHeight="1" x14ac:dyDescent="0.3"/>
    <row r="59" spans="8:17" ht="12" customHeight="1" x14ac:dyDescent="0.3"/>
    <row r="60" spans="8:17" ht="12" customHeight="1" x14ac:dyDescent="0.3"/>
    <row r="61" spans="8:17" ht="12" customHeight="1" x14ac:dyDescent="0.3"/>
    <row r="62" spans="8:17" ht="12" customHeight="1" x14ac:dyDescent="0.3"/>
    <row r="63" spans="8:17" ht="12" customHeight="1" x14ac:dyDescent="0.3"/>
    <row r="64" spans="8:17" ht="12" customHeight="1" x14ac:dyDescent="0.3"/>
    <row r="65" ht="12" customHeight="1" x14ac:dyDescent="0.3"/>
    <row r="66" ht="12" customHeight="1" x14ac:dyDescent="0.3"/>
  </sheetData>
  <mergeCells count="2">
    <mergeCell ref="H28:Q41"/>
    <mergeCell ref="H42:Q55"/>
  </mergeCells>
  <hyperlinks>
    <hyperlink ref="B4" location="'Reported Group Highlights'!A1" display="1)" xr:uid="{00000000-0004-0000-0000-000000000000}"/>
    <hyperlink ref="B5" location="'Reported Group Balance Sheet'!A1" display="2)" xr:uid="{00000000-0004-0000-0000-000001000000}"/>
    <hyperlink ref="B6" location="'Domestic Mobile Operations'!A1" display="3)" xr:uid="{00000000-0004-0000-0000-000002000000}"/>
    <hyperlink ref="B7" location="Charts!A1" display="12)" xr:uid="{00000000-0004-0000-0000-000003000000}"/>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S154"/>
  <sheetViews>
    <sheetView showGridLines="0" zoomScale="70" zoomScaleNormal="70" workbookViewId="0">
      <pane xSplit="1" ySplit="3" topLeftCell="AO4" activePane="bottomRight" state="frozen"/>
      <selection activeCell="AU7" sqref="AU7 AU9 AU11 AU21:AU23 AU25 AU42 AU60 AU141 AU144:AU146"/>
      <selection pane="topRight" activeCell="AU7" sqref="AU7 AU9 AU11 AU21:AU23 AU25 AU42 AU60 AU141 AU144:AU146"/>
      <selection pane="bottomLeft" activeCell="AU7" sqref="AU7 AU9 AU11 AU21:AU23 AU25 AU42 AU60 AU141 AU144:AU146"/>
      <selection pane="bottomRight" activeCell="AU45" sqref="AU45"/>
    </sheetView>
  </sheetViews>
  <sheetFormatPr defaultColWidth="9.21875" defaultRowHeight="13.2" outlineLevelRow="1" outlineLevelCol="1" x14ac:dyDescent="0.25"/>
  <cols>
    <col min="1" max="1" width="67.21875" style="43" bestFit="1" customWidth="1"/>
    <col min="2" max="2" width="3.77734375" style="43" customWidth="1" outlineLevel="1"/>
    <col min="3" max="23" width="14.21875" style="43" customWidth="1" outlineLevel="1"/>
    <col min="24" max="47" width="14.21875" style="43" customWidth="1"/>
    <col min="48" max="48" width="6.77734375" style="43" customWidth="1"/>
    <col min="49" max="49" width="41.5546875" style="43" customWidth="1"/>
    <col min="50" max="50" width="16.5546875" style="43" bestFit="1" customWidth="1"/>
    <col min="51" max="51" width="16.5546875" style="295" customWidth="1"/>
    <col min="52" max="52" width="16.5546875" style="391" customWidth="1"/>
    <col min="53" max="53" width="16.5546875" style="134" customWidth="1"/>
    <col min="54" max="54" width="10.5546875" style="295" bestFit="1" customWidth="1"/>
    <col min="55" max="55" width="14.109375" style="157" bestFit="1" customWidth="1"/>
    <col min="56" max="56" width="14.109375" style="295" bestFit="1" customWidth="1"/>
    <col min="57" max="57" width="12.77734375" style="295" bestFit="1" customWidth="1"/>
    <col min="58" max="58" width="22.33203125" style="295" bestFit="1" customWidth="1"/>
    <col min="59" max="60" width="9.21875" style="295"/>
    <col min="61" max="61" width="12.77734375" style="295" bestFit="1" customWidth="1"/>
    <col min="62" max="16384" width="9.21875" style="43"/>
  </cols>
  <sheetData>
    <row r="1" spans="1:65" s="36" customFormat="1" x14ac:dyDescent="0.25">
      <c r="A1" s="33" t="s">
        <v>10</v>
      </c>
      <c r="B1" s="33"/>
      <c r="C1" s="34" t="s">
        <v>203</v>
      </c>
      <c r="D1" s="34" t="s">
        <v>204</v>
      </c>
      <c r="E1" s="34" t="s">
        <v>205</v>
      </c>
      <c r="F1" s="34" t="s">
        <v>206</v>
      </c>
      <c r="G1" s="34" t="s">
        <v>207</v>
      </c>
      <c r="H1" s="34" t="s">
        <v>208</v>
      </c>
      <c r="I1" s="34" t="s">
        <v>209</v>
      </c>
      <c r="J1" s="34" t="s">
        <v>210</v>
      </c>
      <c r="K1" s="34" t="s">
        <v>211</v>
      </c>
      <c r="L1" s="34" t="s">
        <v>212</v>
      </c>
      <c r="M1" s="34" t="s">
        <v>213</v>
      </c>
      <c r="N1" s="34" t="s">
        <v>214</v>
      </c>
      <c r="O1" s="34" t="s">
        <v>215</v>
      </c>
      <c r="P1" s="34" t="s">
        <v>216</v>
      </c>
      <c r="Q1" s="34" t="s">
        <v>217</v>
      </c>
      <c r="R1" s="34" t="s">
        <v>218</v>
      </c>
      <c r="S1" s="34" t="s">
        <v>219</v>
      </c>
      <c r="T1" s="34" t="s">
        <v>220</v>
      </c>
      <c r="U1" s="34" t="s">
        <v>221</v>
      </c>
      <c r="V1" s="34" t="s">
        <v>222</v>
      </c>
      <c r="W1" s="34" t="s">
        <v>223</v>
      </c>
      <c r="X1" s="34" t="s">
        <v>224</v>
      </c>
      <c r="Y1" s="34" t="s">
        <v>225</v>
      </c>
      <c r="Z1" s="34" t="s">
        <v>226</v>
      </c>
      <c r="AA1" s="34" t="s">
        <v>227</v>
      </c>
      <c r="AB1" s="34" t="s">
        <v>228</v>
      </c>
      <c r="AC1" s="34" t="s">
        <v>229</v>
      </c>
      <c r="AD1" s="34" t="s">
        <v>230</v>
      </c>
      <c r="AE1" s="34" t="s">
        <v>231</v>
      </c>
      <c r="AF1" s="34" t="s">
        <v>232</v>
      </c>
      <c r="AG1" s="34" t="s">
        <v>233</v>
      </c>
      <c r="AH1" s="34" t="s">
        <v>234</v>
      </c>
      <c r="AI1" s="34" t="s">
        <v>235</v>
      </c>
      <c r="AJ1" s="34" t="s">
        <v>236</v>
      </c>
      <c r="AK1" s="34" t="s">
        <v>237</v>
      </c>
      <c r="AL1" s="34" t="s">
        <v>238</v>
      </c>
      <c r="AM1" s="34" t="s">
        <v>239</v>
      </c>
      <c r="AN1" s="34" t="s">
        <v>240</v>
      </c>
      <c r="AO1" s="34" t="s">
        <v>241</v>
      </c>
      <c r="AP1" s="34" t="s">
        <v>242</v>
      </c>
      <c r="AQ1" s="34" t="s">
        <v>243</v>
      </c>
      <c r="AR1" s="34" t="s">
        <v>244</v>
      </c>
      <c r="AS1" s="34" t="s">
        <v>245</v>
      </c>
      <c r="AT1" s="34" t="s">
        <v>246</v>
      </c>
      <c r="AU1" s="34" t="s">
        <v>247</v>
      </c>
      <c r="AV1" s="33"/>
      <c r="AW1" s="33" t="s">
        <v>11</v>
      </c>
      <c r="AX1" s="33" t="s">
        <v>376</v>
      </c>
      <c r="AY1" s="294"/>
      <c r="AZ1" s="392"/>
      <c r="BA1" s="35"/>
      <c r="BB1" s="294"/>
      <c r="BC1" s="408"/>
      <c r="BD1" s="294"/>
      <c r="BE1" s="294"/>
      <c r="BF1" s="294"/>
      <c r="BG1" s="294"/>
      <c r="BH1" s="294"/>
      <c r="BI1" s="294"/>
    </row>
    <row r="2" spans="1:65" s="36" customFormat="1" x14ac:dyDescent="0.25">
      <c r="A2" s="33" t="s">
        <v>372</v>
      </c>
      <c r="B2" s="33"/>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3"/>
      <c r="AW2" s="33"/>
      <c r="AX2" s="33"/>
      <c r="AY2" s="294"/>
      <c r="AZ2" s="392"/>
      <c r="BA2" s="35"/>
      <c r="BB2" s="294"/>
      <c r="BC2" s="409"/>
      <c r="BD2" s="294"/>
      <c r="BE2" s="294"/>
      <c r="BF2" s="294"/>
      <c r="BG2" s="294"/>
      <c r="BH2" s="294"/>
      <c r="BI2" s="294"/>
    </row>
    <row r="3" spans="1:65" x14ac:dyDescent="0.25">
      <c r="A3" s="37" t="s">
        <v>12</v>
      </c>
      <c r="B3" s="37"/>
      <c r="C3" s="38"/>
      <c r="D3" s="39"/>
      <c r="E3" s="40"/>
      <c r="F3" s="41"/>
      <c r="G3" s="41"/>
      <c r="H3" s="41"/>
      <c r="I3" s="41"/>
      <c r="J3" s="41"/>
      <c r="K3" s="40"/>
      <c r="L3" s="39"/>
      <c r="M3" s="38"/>
      <c r="N3" s="41"/>
      <c r="O3" s="41"/>
      <c r="P3" s="41"/>
      <c r="Q3" s="40"/>
      <c r="R3" s="39"/>
      <c r="S3" s="38"/>
      <c r="T3" s="42"/>
      <c r="U3" s="42"/>
      <c r="V3" s="42"/>
      <c r="W3" s="42"/>
      <c r="X3" s="42"/>
      <c r="Y3" s="42"/>
      <c r="Z3" s="42"/>
      <c r="AA3" s="42"/>
      <c r="AB3" s="42"/>
      <c r="AC3" s="42"/>
      <c r="AD3" s="42"/>
      <c r="AE3" s="42"/>
      <c r="AF3" s="42"/>
      <c r="AG3" s="42"/>
      <c r="AH3" s="42"/>
      <c r="AI3" s="42"/>
      <c r="AJ3" s="316"/>
      <c r="AK3" s="316"/>
      <c r="AL3" s="316"/>
      <c r="AM3" s="316"/>
      <c r="AN3" s="316"/>
      <c r="AO3" s="316" t="s">
        <v>434</v>
      </c>
      <c r="AP3" s="316"/>
      <c r="AQ3" s="316"/>
      <c r="AR3" s="316"/>
      <c r="AS3" s="316"/>
      <c r="AT3" s="316"/>
      <c r="AU3" s="316"/>
      <c r="AZ3" s="294" t="s">
        <v>356</v>
      </c>
      <c r="BA3" s="295"/>
    </row>
    <row r="4" spans="1:65" x14ac:dyDescent="0.25">
      <c r="A4" s="37"/>
      <c r="B4" s="37"/>
      <c r="C4" s="38"/>
      <c r="D4" s="39"/>
      <c r="E4" s="40"/>
      <c r="F4" s="41"/>
      <c r="G4" s="41"/>
      <c r="H4" s="41"/>
      <c r="I4" s="41"/>
      <c r="J4" s="41"/>
      <c r="K4" s="40"/>
      <c r="L4" s="39"/>
      <c r="M4" s="38"/>
      <c r="N4" s="41"/>
      <c r="O4" s="41"/>
      <c r="P4" s="41"/>
      <c r="Q4" s="40"/>
      <c r="R4" s="39"/>
      <c r="S4" s="38"/>
      <c r="T4" s="42"/>
      <c r="U4" s="42"/>
      <c r="V4" s="42"/>
      <c r="W4" s="42"/>
      <c r="X4" s="42"/>
      <c r="Y4" s="42"/>
      <c r="Z4" s="42"/>
      <c r="AA4" s="42"/>
      <c r="AB4" s="42"/>
      <c r="AC4" s="42"/>
      <c r="AD4" s="42"/>
      <c r="AE4" s="42"/>
      <c r="AF4" s="42"/>
      <c r="AG4" s="42"/>
      <c r="AH4" s="42"/>
      <c r="AI4" s="42"/>
      <c r="AJ4" s="316"/>
      <c r="AK4" s="316"/>
      <c r="AL4" s="316"/>
      <c r="AM4" s="316"/>
      <c r="AN4" s="316"/>
      <c r="AO4" s="316"/>
      <c r="AP4" s="316"/>
      <c r="AQ4" s="316"/>
      <c r="AR4" s="316"/>
      <c r="AS4" s="316"/>
      <c r="AT4" s="316"/>
      <c r="AU4" s="316"/>
      <c r="BA4" s="44"/>
      <c r="BB4" s="44"/>
      <c r="BC4" s="280"/>
    </row>
    <row r="5" spans="1:65" ht="14.4" x14ac:dyDescent="0.3">
      <c r="A5" s="52" t="s">
        <v>423</v>
      </c>
      <c r="B5" s="37"/>
      <c r="C5" s="38"/>
      <c r="D5" s="39"/>
      <c r="E5" s="40"/>
      <c r="F5" s="41"/>
      <c r="G5" s="41"/>
      <c r="H5" s="41"/>
      <c r="I5" s="41"/>
      <c r="J5" s="41"/>
      <c r="K5" s="40"/>
      <c r="L5" s="39"/>
      <c r="M5" s="38"/>
      <c r="N5" s="41"/>
      <c r="O5" s="41"/>
      <c r="P5" s="41"/>
      <c r="Q5" s="40"/>
      <c r="R5" s="39"/>
      <c r="S5" s="38"/>
      <c r="T5" s="42"/>
      <c r="U5" s="42"/>
      <c r="V5" s="42"/>
      <c r="W5" s="42"/>
      <c r="X5" s="42"/>
      <c r="Y5" s="42"/>
      <c r="Z5" s="42"/>
      <c r="AA5" s="42"/>
      <c r="AB5" s="42"/>
      <c r="AC5" s="42"/>
      <c r="AD5" s="42"/>
      <c r="AE5" s="42"/>
      <c r="AF5" s="42"/>
      <c r="AG5" s="42"/>
      <c r="AH5" s="42"/>
      <c r="AI5" s="42"/>
      <c r="AJ5" s="316"/>
      <c r="AK5" s="316"/>
      <c r="AL5" s="316"/>
      <c r="AM5" s="316"/>
      <c r="AN5" s="51"/>
      <c r="AO5" s="51"/>
      <c r="AP5" s="51"/>
      <c r="AQ5" s="51"/>
      <c r="AR5" s="134"/>
      <c r="AS5" s="134"/>
      <c r="AT5" s="134"/>
      <c r="AU5" s="51"/>
      <c r="BA5" s="44"/>
      <c r="BB5" s="44"/>
      <c r="BC5" s="280"/>
      <c r="BE5"/>
      <c r="BF5"/>
      <c r="BG5"/>
      <c r="BH5"/>
      <c r="BI5"/>
      <c r="BJ5"/>
      <c r="BK5"/>
      <c r="BL5"/>
      <c r="BM5"/>
    </row>
    <row r="6" spans="1:65" ht="14.4" x14ac:dyDescent="0.3">
      <c r="A6" s="45" t="s">
        <v>399</v>
      </c>
      <c r="B6" s="374"/>
      <c r="C6" s="316"/>
      <c r="D6" s="316">
        <f t="shared" ref="D6:Z6" si="0">D13+D16</f>
        <v>4972</v>
      </c>
      <c r="E6" s="316">
        <f t="shared" si="0"/>
        <v>5266</v>
      </c>
      <c r="F6" s="316">
        <f t="shared" si="0"/>
        <v>5586</v>
      </c>
      <c r="G6" s="316">
        <f t="shared" si="0"/>
        <v>5604</v>
      </c>
      <c r="H6" s="316">
        <f t="shared" si="0"/>
        <v>4690</v>
      </c>
      <c r="I6" s="316">
        <f t="shared" si="0"/>
        <v>5253</v>
      </c>
      <c r="J6" s="316">
        <f t="shared" si="0"/>
        <v>5229</v>
      </c>
      <c r="K6" s="316">
        <f t="shared" si="0"/>
        <v>5193</v>
      </c>
      <c r="L6" s="316">
        <f t="shared" si="0"/>
        <v>4792</v>
      </c>
      <c r="M6" s="316">
        <f t="shared" si="0"/>
        <v>4949</v>
      </c>
      <c r="N6" s="316">
        <f t="shared" si="0"/>
        <v>5198</v>
      </c>
      <c r="O6" s="316">
        <f t="shared" si="0"/>
        <v>5375</v>
      </c>
      <c r="P6" s="316">
        <f t="shared" si="0"/>
        <v>5103</v>
      </c>
      <c r="Q6" s="316">
        <f t="shared" si="0"/>
        <v>4752</v>
      </c>
      <c r="R6" s="316">
        <f t="shared" si="0"/>
        <v>4759</v>
      </c>
      <c r="S6" s="316">
        <f t="shared" si="0"/>
        <v>4838</v>
      </c>
      <c r="T6" s="316">
        <f t="shared" si="0"/>
        <v>4836</v>
      </c>
      <c r="U6" s="316">
        <f t="shared" si="0"/>
        <v>5254</v>
      </c>
      <c r="V6" s="316">
        <f t="shared" si="0"/>
        <v>5567</v>
      </c>
      <c r="W6" s="316">
        <f t="shared" si="0"/>
        <v>5583</v>
      </c>
      <c r="X6" s="316">
        <f t="shared" si="0"/>
        <v>5193.6460000000006</v>
      </c>
      <c r="Y6" s="316">
        <f t="shared" si="0"/>
        <v>5234.723</v>
      </c>
      <c r="Z6" s="316">
        <f t="shared" si="0"/>
        <v>5517.0739999999996</v>
      </c>
      <c r="AA6" s="316">
        <f t="shared" ref="AA6" si="1">AA13+AA16</f>
        <v>5737.9969999999994</v>
      </c>
      <c r="AB6" s="316">
        <f>AB9-AB7-AB8</f>
        <v>5689.7910000000002</v>
      </c>
      <c r="AC6" s="316">
        <f t="shared" ref="AC6:AS6" si="2">AC9-AC7-AC8</f>
        <v>6009.848</v>
      </c>
      <c r="AD6" s="316">
        <f t="shared" si="2"/>
        <v>6181.786000000001</v>
      </c>
      <c r="AE6" s="316">
        <f t="shared" si="2"/>
        <v>6156.2179999999989</v>
      </c>
      <c r="AF6" s="316">
        <f t="shared" si="2"/>
        <v>6249.179000000001</v>
      </c>
      <c r="AG6" s="316">
        <f t="shared" si="2"/>
        <v>6412.7769999999991</v>
      </c>
      <c r="AH6" s="316">
        <f t="shared" si="2"/>
        <v>6393.9189999999999</v>
      </c>
      <c r="AI6" s="316">
        <f t="shared" si="2"/>
        <v>6189.0650000000005</v>
      </c>
      <c r="AJ6" s="316">
        <f t="shared" si="2"/>
        <v>6095.0749999999998</v>
      </c>
      <c r="AK6" s="316">
        <f t="shared" si="2"/>
        <v>6432.9270000000006</v>
      </c>
      <c r="AL6" s="316">
        <f t="shared" si="2"/>
        <v>6596.527</v>
      </c>
      <c r="AM6" s="316">
        <f t="shared" si="2"/>
        <v>6689.4110000000001</v>
      </c>
      <c r="AN6" s="316">
        <f t="shared" si="2"/>
        <v>6481.9420000000009</v>
      </c>
      <c r="AO6" s="316">
        <f t="shared" si="2"/>
        <v>6915.7349999999997</v>
      </c>
      <c r="AP6" s="316">
        <f t="shared" si="2"/>
        <v>7106.4489999999996</v>
      </c>
      <c r="AQ6" s="316">
        <f t="shared" si="2"/>
        <v>7092.1949999999997</v>
      </c>
      <c r="AR6" s="316">
        <f t="shared" si="2"/>
        <v>7167.5730000000003</v>
      </c>
      <c r="AS6" s="316">
        <f t="shared" si="2"/>
        <v>7776.3630000000003</v>
      </c>
      <c r="AT6" s="316">
        <f t="shared" ref="AT6:AU6" si="3">AT9-AT7-AT8</f>
        <v>7556.8560000000016</v>
      </c>
      <c r="AU6" s="316">
        <f t="shared" si="3"/>
        <v>7905.426999999996</v>
      </c>
      <c r="BA6" s="44"/>
      <c r="BB6" s="44"/>
      <c r="BC6" s="280"/>
      <c r="BE6"/>
      <c r="BF6"/>
      <c r="BG6"/>
      <c r="BH6"/>
      <c r="BI6"/>
      <c r="BJ6"/>
      <c r="BK6"/>
      <c r="BL6"/>
      <c r="BM6"/>
    </row>
    <row r="7" spans="1:65" ht="14.4" x14ac:dyDescent="0.3">
      <c r="A7" s="48" t="s">
        <v>415</v>
      </c>
      <c r="B7" s="376"/>
      <c r="C7" s="373"/>
      <c r="D7" s="373">
        <f>D15</f>
        <v>811</v>
      </c>
      <c r="E7" s="373">
        <f t="shared" ref="E7:Z7" si="4">E15</f>
        <v>817</v>
      </c>
      <c r="F7" s="373">
        <f t="shared" si="4"/>
        <v>824</v>
      </c>
      <c r="G7" s="373">
        <f t="shared" si="4"/>
        <v>789</v>
      </c>
      <c r="H7" s="373">
        <f t="shared" si="4"/>
        <v>831</v>
      </c>
      <c r="I7" s="373">
        <f t="shared" si="4"/>
        <v>822</v>
      </c>
      <c r="J7" s="373">
        <f t="shared" si="4"/>
        <v>824</v>
      </c>
      <c r="K7" s="373">
        <f t="shared" si="4"/>
        <v>727</v>
      </c>
      <c r="L7" s="373">
        <f t="shared" si="4"/>
        <v>707</v>
      </c>
      <c r="M7" s="373">
        <f t="shared" si="4"/>
        <v>683</v>
      </c>
      <c r="N7" s="373">
        <f t="shared" si="4"/>
        <v>657</v>
      </c>
      <c r="O7" s="373">
        <f t="shared" si="4"/>
        <v>598</v>
      </c>
      <c r="P7" s="373">
        <f t="shared" si="4"/>
        <v>532</v>
      </c>
      <c r="Q7" s="373">
        <f t="shared" si="4"/>
        <v>500</v>
      </c>
      <c r="R7" s="373">
        <f t="shared" si="4"/>
        <v>492</v>
      </c>
      <c r="S7" s="373">
        <f t="shared" si="4"/>
        <v>435</v>
      </c>
      <c r="T7" s="373">
        <f t="shared" si="4"/>
        <v>440</v>
      </c>
      <c r="U7" s="373">
        <f t="shared" si="4"/>
        <v>420</v>
      </c>
      <c r="V7" s="373">
        <f t="shared" si="4"/>
        <v>409</v>
      </c>
      <c r="W7" s="373">
        <f t="shared" si="4"/>
        <v>392</v>
      </c>
      <c r="X7" s="373">
        <f t="shared" si="4"/>
        <v>310.91000000000003</v>
      </c>
      <c r="Y7" s="373">
        <f t="shared" si="4"/>
        <v>327.33100000000002</v>
      </c>
      <c r="Z7" s="373">
        <f t="shared" si="4"/>
        <v>356.73399999999998</v>
      </c>
      <c r="AA7" s="373">
        <f>AA15</f>
        <v>322.65199999999999</v>
      </c>
      <c r="AB7" s="375">
        <v>284.40100000000001</v>
      </c>
      <c r="AC7" s="375">
        <v>285.75700000000001</v>
      </c>
      <c r="AD7" s="375">
        <v>283.9199999999999</v>
      </c>
      <c r="AE7" s="375">
        <v>258.53600000000012</v>
      </c>
      <c r="AF7" s="375">
        <v>250.59200000000001</v>
      </c>
      <c r="AG7" s="375">
        <v>178.13</v>
      </c>
      <c r="AH7" s="375">
        <v>177.738</v>
      </c>
      <c r="AI7" s="375">
        <v>166.82599999999999</v>
      </c>
      <c r="AJ7" s="375">
        <v>154.67500000000001</v>
      </c>
      <c r="AK7" s="375">
        <v>295.392</v>
      </c>
      <c r="AL7" s="375">
        <v>230.13200000000001</v>
      </c>
      <c r="AM7" s="375">
        <v>272.19499999999999</v>
      </c>
      <c r="AN7" s="375">
        <v>263.26299999999998</v>
      </c>
      <c r="AO7" s="375">
        <v>401.05</v>
      </c>
      <c r="AP7" s="375">
        <v>342.12200000000001</v>
      </c>
      <c r="AQ7" s="375">
        <v>358.512</v>
      </c>
      <c r="AR7" s="375">
        <v>255.10400000000001</v>
      </c>
      <c r="AS7" s="375">
        <v>337.09800000000001</v>
      </c>
      <c r="AT7" s="375">
        <f>1020.933-AS7-AR7</f>
        <v>428.73099999999999</v>
      </c>
      <c r="AU7" s="375">
        <f>1429.933-AT7-AS7-AR7</f>
        <v>409</v>
      </c>
      <c r="AX7" s="43" t="s">
        <v>147</v>
      </c>
      <c r="BA7" s="44"/>
      <c r="BB7" s="44"/>
      <c r="BC7" s="280"/>
      <c r="BE7"/>
      <c r="BF7"/>
      <c r="BG7"/>
      <c r="BH7"/>
      <c r="BI7"/>
      <c r="BJ7"/>
      <c r="BK7"/>
      <c r="BL7"/>
      <c r="BM7"/>
    </row>
    <row r="8" spans="1:65" ht="14.4" x14ac:dyDescent="0.3">
      <c r="A8" s="48" t="s">
        <v>417</v>
      </c>
      <c r="B8" s="376"/>
      <c r="C8" s="373"/>
      <c r="D8" s="373">
        <f t="shared" ref="D8:Z8" si="5">D17</f>
        <v>-25</v>
      </c>
      <c r="E8" s="373">
        <f t="shared" si="5"/>
        <v>-28</v>
      </c>
      <c r="F8" s="373">
        <f t="shared" si="5"/>
        <v>-22</v>
      </c>
      <c r="G8" s="373">
        <f t="shared" si="5"/>
        <v>-10</v>
      </c>
      <c r="H8" s="373">
        <f t="shared" si="5"/>
        <v>-14</v>
      </c>
      <c r="I8" s="373">
        <f t="shared" si="5"/>
        <v>-34</v>
      </c>
      <c r="J8" s="373">
        <f t="shared" si="5"/>
        <v>-47</v>
      </c>
      <c r="K8" s="373">
        <f t="shared" si="5"/>
        <v>-14</v>
      </c>
      <c r="L8" s="373">
        <f t="shared" si="5"/>
        <v>-18</v>
      </c>
      <c r="M8" s="373">
        <f t="shared" si="5"/>
        <v>-21</v>
      </c>
      <c r="N8" s="373">
        <f t="shared" si="5"/>
        <v>-25</v>
      </c>
      <c r="O8" s="373">
        <f t="shared" si="5"/>
        <v>0</v>
      </c>
      <c r="P8" s="373">
        <f t="shared" si="5"/>
        <v>-19</v>
      </c>
      <c r="Q8" s="373">
        <f t="shared" si="5"/>
        <v>-14</v>
      </c>
      <c r="R8" s="373">
        <f t="shared" si="5"/>
        <v>-21</v>
      </c>
      <c r="S8" s="373">
        <f t="shared" si="5"/>
        <v>-16</v>
      </c>
      <c r="T8" s="373">
        <f t="shared" si="5"/>
        <v>-10</v>
      </c>
      <c r="U8" s="373">
        <f t="shared" si="5"/>
        <v>-7</v>
      </c>
      <c r="V8" s="373">
        <f t="shared" si="5"/>
        <v>-6</v>
      </c>
      <c r="W8" s="373">
        <f t="shared" si="5"/>
        <v>-3</v>
      </c>
      <c r="X8" s="373">
        <f t="shared" si="5"/>
        <v>-3.1910000000004857</v>
      </c>
      <c r="Y8" s="373">
        <f t="shared" si="5"/>
        <v>-17.377000000000749</v>
      </c>
      <c r="Z8" s="373">
        <f t="shared" si="5"/>
        <v>-27.637999999999863</v>
      </c>
      <c r="AA8" s="373">
        <f t="shared" ref="AA8:AS8" si="6">AA17</f>
        <v>-14.04899999999941</v>
      </c>
      <c r="AB8" s="373">
        <f t="shared" si="6"/>
        <v>-6.9679999999998472</v>
      </c>
      <c r="AC8" s="373">
        <f t="shared" si="6"/>
        <v>-6.0000000000003411</v>
      </c>
      <c r="AD8" s="373">
        <f t="shared" si="6"/>
        <v>-2.0129999999995789</v>
      </c>
      <c r="AE8" s="373">
        <f t="shared" si="6"/>
        <v>-2.648000000000593</v>
      </c>
      <c r="AF8" s="373">
        <f t="shared" si="6"/>
        <v>-2.620000000000573</v>
      </c>
      <c r="AG8" s="373">
        <f t="shared" si="6"/>
        <v>-1.6389999999995553</v>
      </c>
      <c r="AH8" s="373">
        <f t="shared" si="6"/>
        <v>-1.9250000000001819</v>
      </c>
      <c r="AI8" s="373">
        <f t="shared" si="6"/>
        <v>-2.9469999999996617</v>
      </c>
      <c r="AJ8" s="373">
        <f t="shared" si="6"/>
        <v>-2.3869999999999436</v>
      </c>
      <c r="AK8" s="373">
        <f t="shared" si="6"/>
        <v>-1.4830000000001178</v>
      </c>
      <c r="AL8" s="373">
        <f t="shared" si="6"/>
        <v>-0.66500000000030468</v>
      </c>
      <c r="AM8" s="373">
        <f t="shared" si="6"/>
        <v>-7.7489999999999668</v>
      </c>
      <c r="AN8" s="373">
        <f t="shared" si="6"/>
        <v>-3.1460000000005834</v>
      </c>
      <c r="AO8" s="373">
        <f t="shared" si="6"/>
        <v>-8.4039999999994173</v>
      </c>
      <c r="AP8" s="373">
        <f t="shared" si="6"/>
        <v>-10.849</v>
      </c>
      <c r="AQ8" s="373">
        <f t="shared" si="6"/>
        <v>-8.6110000000000007</v>
      </c>
      <c r="AR8" s="373">
        <f t="shared" si="6"/>
        <v>-3.149</v>
      </c>
      <c r="AS8" s="373">
        <f t="shared" si="6"/>
        <v>-5.3370000000000006</v>
      </c>
      <c r="AT8" s="373">
        <f t="shared" ref="AT8:AU8" si="7">AT17</f>
        <v>-3.7839999999999989</v>
      </c>
      <c r="AU8" s="373">
        <f t="shared" si="7"/>
        <v>-2.2409999999999997</v>
      </c>
      <c r="AX8" s="43" t="s">
        <v>147</v>
      </c>
      <c r="BA8" s="44"/>
      <c r="BB8" s="44"/>
      <c r="BC8" s="280"/>
      <c r="BE8"/>
      <c r="BF8"/>
      <c r="BG8"/>
      <c r="BH8"/>
      <c r="BI8"/>
      <c r="BJ8"/>
      <c r="BK8"/>
      <c r="BL8"/>
      <c r="BM8"/>
    </row>
    <row r="9" spans="1:65" ht="14.4" x14ac:dyDescent="0.3">
      <c r="A9" s="57" t="s">
        <v>401</v>
      </c>
      <c r="B9" s="377"/>
      <c r="C9" s="371"/>
      <c r="D9" s="371">
        <f>D6+D7+D8</f>
        <v>5758</v>
      </c>
      <c r="E9" s="371">
        <f t="shared" ref="E9:Z9" si="8">E6+E7+E8</f>
        <v>6055</v>
      </c>
      <c r="F9" s="371">
        <f t="shared" si="8"/>
        <v>6388</v>
      </c>
      <c r="G9" s="371">
        <f t="shared" si="8"/>
        <v>6383</v>
      </c>
      <c r="H9" s="371">
        <f t="shared" si="8"/>
        <v>5507</v>
      </c>
      <c r="I9" s="371">
        <f t="shared" si="8"/>
        <v>6041</v>
      </c>
      <c r="J9" s="371">
        <f t="shared" si="8"/>
        <v>6006</v>
      </c>
      <c r="K9" s="371">
        <f t="shared" si="8"/>
        <v>5906</v>
      </c>
      <c r="L9" s="371">
        <f t="shared" si="8"/>
        <v>5481</v>
      </c>
      <c r="M9" s="371">
        <f t="shared" si="8"/>
        <v>5611</v>
      </c>
      <c r="N9" s="371">
        <f t="shared" si="8"/>
        <v>5830</v>
      </c>
      <c r="O9" s="371">
        <f t="shared" si="8"/>
        <v>5973</v>
      </c>
      <c r="P9" s="371">
        <f t="shared" si="8"/>
        <v>5616</v>
      </c>
      <c r="Q9" s="371">
        <f t="shared" si="8"/>
        <v>5238</v>
      </c>
      <c r="R9" s="371">
        <f t="shared" si="8"/>
        <v>5230</v>
      </c>
      <c r="S9" s="371">
        <f t="shared" si="8"/>
        <v>5257</v>
      </c>
      <c r="T9" s="371">
        <f t="shared" si="8"/>
        <v>5266</v>
      </c>
      <c r="U9" s="371">
        <f t="shared" si="8"/>
        <v>5667</v>
      </c>
      <c r="V9" s="371">
        <f t="shared" si="8"/>
        <v>5970</v>
      </c>
      <c r="W9" s="371">
        <f t="shared" si="8"/>
        <v>5972</v>
      </c>
      <c r="X9" s="371">
        <f t="shared" si="8"/>
        <v>5501.3649999999998</v>
      </c>
      <c r="Y9" s="371">
        <f t="shared" si="8"/>
        <v>5544.6769999999997</v>
      </c>
      <c r="Z9" s="371">
        <f t="shared" si="8"/>
        <v>5846.17</v>
      </c>
      <c r="AA9" s="371">
        <f>AA6+AA7+AA8</f>
        <v>6046.6</v>
      </c>
      <c r="AB9" s="378">
        <v>5967.2240000000002</v>
      </c>
      <c r="AC9" s="378">
        <v>6289.6049999999996</v>
      </c>
      <c r="AD9" s="378">
        <v>6463.6930000000011</v>
      </c>
      <c r="AE9" s="378">
        <v>6412.1059999999979</v>
      </c>
      <c r="AF9" s="378">
        <v>6497.1509999999998</v>
      </c>
      <c r="AG9" s="378">
        <v>6589.268</v>
      </c>
      <c r="AH9" s="378">
        <v>6569.732</v>
      </c>
      <c r="AI9" s="378">
        <v>6352.9440000000004</v>
      </c>
      <c r="AJ9" s="378">
        <v>6247.3630000000003</v>
      </c>
      <c r="AK9" s="378">
        <v>6726.8360000000002</v>
      </c>
      <c r="AL9" s="378">
        <v>6825.9939999999997</v>
      </c>
      <c r="AM9" s="378">
        <v>6953.857</v>
      </c>
      <c r="AN9" s="378">
        <v>6742.0590000000002</v>
      </c>
      <c r="AO9" s="378">
        <v>7308.3810000000003</v>
      </c>
      <c r="AP9" s="378">
        <v>7437.7219999999998</v>
      </c>
      <c r="AQ9" s="378">
        <v>7442.0959999999995</v>
      </c>
      <c r="AR9" s="378">
        <v>7419.5280000000002</v>
      </c>
      <c r="AS9" s="378">
        <v>8108.1239999999998</v>
      </c>
      <c r="AT9" s="378">
        <f>23509.455-AS9-AR9</f>
        <v>7981.8030000000017</v>
      </c>
      <c r="AU9" s="378">
        <f>31821.641-AT9-AS9-AR9</f>
        <v>8312.1859999999961</v>
      </c>
      <c r="AW9" s="43" t="s">
        <v>416</v>
      </c>
      <c r="AX9" s="43" t="s">
        <v>147</v>
      </c>
      <c r="AY9" s="300"/>
      <c r="BA9" s="44"/>
      <c r="BB9" s="44"/>
      <c r="BC9" s="280"/>
      <c r="BE9"/>
      <c r="BF9"/>
      <c r="BG9"/>
      <c r="BH9"/>
      <c r="BI9"/>
      <c r="BJ9"/>
      <c r="BK9"/>
      <c r="BL9"/>
      <c r="BM9"/>
    </row>
    <row r="10" spans="1:65" ht="14.4" x14ac:dyDescent="0.3">
      <c r="A10" s="48" t="s">
        <v>408</v>
      </c>
      <c r="B10" s="376"/>
      <c r="C10" s="373"/>
      <c r="D10" s="373">
        <f>D11-D9</f>
        <v>0</v>
      </c>
      <c r="E10" s="373">
        <f t="shared" ref="E10:Z10" si="9">E11-E9</f>
        <v>0</v>
      </c>
      <c r="F10" s="373">
        <f t="shared" si="9"/>
        <v>0</v>
      </c>
      <c r="G10" s="373">
        <f t="shared" si="9"/>
        <v>0</v>
      </c>
      <c r="H10" s="373">
        <f t="shared" si="9"/>
        <v>0</v>
      </c>
      <c r="I10" s="373">
        <f t="shared" si="9"/>
        <v>0</v>
      </c>
      <c r="J10" s="373">
        <f t="shared" si="9"/>
        <v>0</v>
      </c>
      <c r="K10" s="373">
        <f t="shared" si="9"/>
        <v>0</v>
      </c>
      <c r="L10" s="373">
        <f t="shared" si="9"/>
        <v>0</v>
      </c>
      <c r="M10" s="373">
        <f t="shared" si="9"/>
        <v>0</v>
      </c>
      <c r="N10" s="373">
        <f t="shared" si="9"/>
        <v>0</v>
      </c>
      <c r="O10" s="373">
        <f t="shared" si="9"/>
        <v>0</v>
      </c>
      <c r="P10" s="373">
        <f t="shared" si="9"/>
        <v>0</v>
      </c>
      <c r="Q10" s="373">
        <f t="shared" si="9"/>
        <v>0</v>
      </c>
      <c r="R10" s="373">
        <f t="shared" si="9"/>
        <v>0</v>
      </c>
      <c r="S10" s="373">
        <f t="shared" si="9"/>
        <v>0</v>
      </c>
      <c r="T10" s="373">
        <f t="shared" si="9"/>
        <v>0</v>
      </c>
      <c r="U10" s="373">
        <f t="shared" si="9"/>
        <v>0</v>
      </c>
      <c r="V10" s="373">
        <f t="shared" si="9"/>
        <v>0</v>
      </c>
      <c r="W10" s="373">
        <f t="shared" si="9"/>
        <v>26</v>
      </c>
      <c r="X10" s="373">
        <f t="shared" si="9"/>
        <v>0</v>
      </c>
      <c r="Y10" s="373">
        <f t="shared" si="9"/>
        <v>0</v>
      </c>
      <c r="Z10" s="373">
        <f t="shared" si="9"/>
        <v>0</v>
      </c>
      <c r="AA10" s="373">
        <f>AA11-AA9</f>
        <v>0</v>
      </c>
      <c r="AB10" s="373">
        <f>AB11-AB9</f>
        <v>0</v>
      </c>
      <c r="AC10" s="373">
        <f t="shared" ref="AC10:AE10" si="10">AC11-AC9</f>
        <v>0</v>
      </c>
      <c r="AD10" s="373">
        <f t="shared" si="10"/>
        <v>0</v>
      </c>
      <c r="AE10" s="373">
        <f t="shared" si="10"/>
        <v>0.22400000000197906</v>
      </c>
      <c r="AF10" s="373">
        <f>AF11-AF9</f>
        <v>0</v>
      </c>
      <c r="AG10" s="373">
        <f t="shared" ref="AG10:AS10" si="11">AG11-AG9</f>
        <v>-4.2590000000000146</v>
      </c>
      <c r="AH10" s="373">
        <f t="shared" si="11"/>
        <v>4.2590000000000146</v>
      </c>
      <c r="AI10" s="373">
        <f t="shared" si="11"/>
        <v>0</v>
      </c>
      <c r="AJ10" s="373">
        <f t="shared" si="11"/>
        <v>0</v>
      </c>
      <c r="AK10" s="373">
        <f t="shared" si="11"/>
        <v>0</v>
      </c>
      <c r="AL10" s="373">
        <f t="shared" si="11"/>
        <v>0</v>
      </c>
      <c r="AM10" s="373">
        <f t="shared" si="11"/>
        <v>0</v>
      </c>
      <c r="AN10" s="373">
        <f t="shared" si="11"/>
        <v>0</v>
      </c>
      <c r="AO10" s="373">
        <f t="shared" si="11"/>
        <v>24.359999999998763</v>
      </c>
      <c r="AP10" s="373">
        <f t="shared" si="11"/>
        <v>82.87800000000334</v>
      </c>
      <c r="AQ10" s="373">
        <f t="shared" si="11"/>
        <v>104.49799999999868</v>
      </c>
      <c r="AR10" s="373">
        <f t="shared" si="11"/>
        <v>127.79599999999937</v>
      </c>
      <c r="AS10" s="373">
        <f t="shared" si="11"/>
        <v>109.07900000000154</v>
      </c>
      <c r="AT10" s="373">
        <f t="shared" ref="AT10:AU10" si="12">AT11-AT9</f>
        <v>121.47399999999743</v>
      </c>
      <c r="AU10" s="373">
        <f t="shared" si="12"/>
        <v>142.66100000000552</v>
      </c>
      <c r="AX10" s="43" t="s">
        <v>147</v>
      </c>
      <c r="BA10" s="44"/>
      <c r="BB10" s="44"/>
      <c r="BC10" s="280"/>
      <c r="BE10"/>
      <c r="BF10"/>
      <c r="BG10"/>
      <c r="BH10"/>
      <c r="BI10"/>
      <c r="BJ10"/>
      <c r="BK10"/>
      <c r="BL10"/>
      <c r="BM10"/>
    </row>
    <row r="11" spans="1:65" ht="14.4" x14ac:dyDescent="0.3">
      <c r="A11" s="57" t="s">
        <v>402</v>
      </c>
      <c r="B11" s="369"/>
      <c r="C11" s="370"/>
      <c r="D11" s="372">
        <v>5758</v>
      </c>
      <c r="E11" s="372">
        <v>6055</v>
      </c>
      <c r="F11" s="372">
        <v>6388</v>
      </c>
      <c r="G11" s="372">
        <v>6383</v>
      </c>
      <c r="H11" s="372">
        <v>5507</v>
      </c>
      <c r="I11" s="372">
        <v>6041</v>
      </c>
      <c r="J11" s="372">
        <v>6006</v>
      </c>
      <c r="K11" s="372">
        <v>5906</v>
      </c>
      <c r="L11" s="372">
        <v>5481</v>
      </c>
      <c r="M11" s="372">
        <v>5611</v>
      </c>
      <c r="N11" s="372">
        <v>5830</v>
      </c>
      <c r="O11" s="372">
        <v>5973</v>
      </c>
      <c r="P11" s="372">
        <v>5616</v>
      </c>
      <c r="Q11" s="372">
        <v>5238</v>
      </c>
      <c r="R11" s="372">
        <v>5230</v>
      </c>
      <c r="S11" s="372">
        <v>5257</v>
      </c>
      <c r="T11" s="372">
        <v>5266</v>
      </c>
      <c r="U11" s="372">
        <v>5667</v>
      </c>
      <c r="V11" s="372">
        <v>5970</v>
      </c>
      <c r="W11" s="372">
        <v>5998</v>
      </c>
      <c r="X11" s="372">
        <v>5501.3649999999998</v>
      </c>
      <c r="Y11" s="372">
        <v>5544.6769999999997</v>
      </c>
      <c r="Z11" s="372">
        <v>5846.17</v>
      </c>
      <c r="AA11" s="372">
        <v>6046.6</v>
      </c>
      <c r="AB11" s="372">
        <v>5967.2240000000002</v>
      </c>
      <c r="AC11" s="372">
        <v>6289.6049999999996</v>
      </c>
      <c r="AD11" s="372">
        <v>6463.6930000000002</v>
      </c>
      <c r="AE11" s="372">
        <v>6412.33</v>
      </c>
      <c r="AF11" s="372">
        <v>6497.1509999999998</v>
      </c>
      <c r="AG11" s="372">
        <v>6585.009</v>
      </c>
      <c r="AH11" s="372">
        <v>6573.991</v>
      </c>
      <c r="AI11" s="372">
        <v>6352.9440000000004</v>
      </c>
      <c r="AJ11" s="372">
        <v>6247.3630000000003</v>
      </c>
      <c r="AK11" s="372">
        <v>6726.8360000000002</v>
      </c>
      <c r="AL11" s="372">
        <v>6825.9939999999997</v>
      </c>
      <c r="AM11" s="372">
        <v>6953.857</v>
      </c>
      <c r="AN11" s="372">
        <v>6742.0590000000002</v>
      </c>
      <c r="AO11" s="372">
        <v>7332.7409999999991</v>
      </c>
      <c r="AP11" s="372">
        <v>7520.6000000000031</v>
      </c>
      <c r="AQ11" s="372">
        <v>7546.5939999999982</v>
      </c>
      <c r="AR11" s="372">
        <v>7547.3239999999996</v>
      </c>
      <c r="AS11" s="372">
        <v>8217.2030000000013</v>
      </c>
      <c r="AT11" s="372">
        <f>23867.804-AS11-AR11</f>
        <v>8103.2769999999991</v>
      </c>
      <c r="AU11" s="372">
        <f>32322.651-AT11-AS11-AR11</f>
        <v>8454.8470000000016</v>
      </c>
      <c r="AX11" s="43" t="s">
        <v>147</v>
      </c>
      <c r="BA11" s="44"/>
      <c r="BB11" s="44"/>
      <c r="BC11" s="280"/>
      <c r="BE11"/>
      <c r="BF11"/>
      <c r="BG11"/>
      <c r="BH11"/>
      <c r="BI11"/>
      <c r="BJ11"/>
      <c r="BK11"/>
      <c r="BL11"/>
      <c r="BM11"/>
    </row>
    <row r="12" spans="1:65" ht="14.4" x14ac:dyDescent="0.3">
      <c r="A12" s="37"/>
      <c r="B12" s="37"/>
      <c r="C12" s="38"/>
      <c r="D12" s="39"/>
      <c r="E12" s="40"/>
      <c r="F12" s="41"/>
      <c r="G12" s="41"/>
      <c r="H12" s="41"/>
      <c r="I12" s="41"/>
      <c r="J12" s="41"/>
      <c r="K12" s="40"/>
      <c r="L12" s="39"/>
      <c r="M12" s="38"/>
      <c r="N12" s="41"/>
      <c r="O12" s="41"/>
      <c r="P12" s="41"/>
      <c r="Q12" s="40"/>
      <c r="R12" s="39"/>
      <c r="S12" s="38"/>
      <c r="T12" s="42"/>
      <c r="U12" s="42"/>
      <c r="V12" s="42"/>
      <c r="W12" s="42"/>
      <c r="X12" s="42"/>
      <c r="Y12" s="42"/>
      <c r="Z12" s="42"/>
      <c r="AA12" s="42"/>
      <c r="AB12" s="42"/>
      <c r="AC12" s="42"/>
      <c r="AD12" s="42"/>
      <c r="AE12" s="42"/>
      <c r="AF12" s="42"/>
      <c r="AG12" s="42"/>
      <c r="AH12" s="42"/>
      <c r="AI12" s="42"/>
      <c r="AJ12" s="316"/>
      <c r="AK12" s="316"/>
      <c r="AL12" s="316"/>
      <c r="AM12" s="316"/>
      <c r="AN12" s="316"/>
      <c r="AO12" s="316"/>
      <c r="AP12" s="316"/>
      <c r="AQ12" s="316"/>
      <c r="AR12" s="316"/>
      <c r="AS12" s="316"/>
      <c r="AT12" s="316"/>
      <c r="AU12" s="316"/>
      <c r="AX12" s="51"/>
      <c r="AY12" s="387"/>
      <c r="BA12" s="295"/>
      <c r="BB12" s="44"/>
      <c r="BC12" s="280"/>
      <c r="BE12"/>
      <c r="BF12"/>
      <c r="BG12"/>
      <c r="BH12"/>
      <c r="BI12"/>
      <c r="BJ12"/>
      <c r="BK12"/>
      <c r="BL12"/>
      <c r="BM12"/>
    </row>
    <row r="13" spans="1:65" ht="14.4" x14ac:dyDescent="0.3">
      <c r="A13" s="45" t="s">
        <v>73</v>
      </c>
      <c r="B13" s="45"/>
      <c r="C13" s="46"/>
      <c r="D13" s="237">
        <v>4612</v>
      </c>
      <c r="E13" s="237">
        <v>4907</v>
      </c>
      <c r="F13" s="237">
        <v>5215</v>
      </c>
      <c r="G13" s="237">
        <v>5218</v>
      </c>
      <c r="H13" s="237">
        <v>4244</v>
      </c>
      <c r="I13" s="237">
        <v>4908</v>
      </c>
      <c r="J13" s="237">
        <v>4903</v>
      </c>
      <c r="K13" s="237">
        <v>4853</v>
      </c>
      <c r="L13" s="237">
        <v>4542</v>
      </c>
      <c r="M13" s="237">
        <v>4685</v>
      </c>
      <c r="N13" s="237">
        <v>4934</v>
      </c>
      <c r="O13" s="237">
        <v>5032</v>
      </c>
      <c r="P13" s="237">
        <v>4781</v>
      </c>
      <c r="Q13" s="68">
        <f>9250-P13</f>
        <v>4469</v>
      </c>
      <c r="R13" s="68">
        <f>13789-Q13-P13</f>
        <v>4539</v>
      </c>
      <c r="S13" s="68">
        <f>18374-R13-Q13-P13</f>
        <v>4585</v>
      </c>
      <c r="T13" s="237">
        <v>4599</v>
      </c>
      <c r="U13" s="68">
        <f>9625-T13</f>
        <v>5026</v>
      </c>
      <c r="V13" s="68">
        <f>14905-U13-T13</f>
        <v>5280</v>
      </c>
      <c r="W13" s="68">
        <f>20260-V13-U13-T13</f>
        <v>5355</v>
      </c>
      <c r="X13" s="237">
        <f>3462.131+1391.272</f>
        <v>4853.4030000000002</v>
      </c>
      <c r="Y13" s="68">
        <f>3527.201+1314.926</f>
        <v>4842.1270000000004</v>
      </c>
      <c r="Z13" s="68">
        <f>3760.9+1286.314</f>
        <v>5047.2139999999999</v>
      </c>
      <c r="AA13" s="237">
        <f>14891.218+5194.642-Z13-Y13-X13</f>
        <v>5343.116</v>
      </c>
      <c r="AB13" s="237">
        <v>5416.491</v>
      </c>
      <c r="AC13" s="237">
        <v>5702.2049999999999</v>
      </c>
      <c r="AD13" s="237">
        <v>5938.03</v>
      </c>
      <c r="AE13" s="237">
        <v>5893.9310000000005</v>
      </c>
      <c r="AF13" s="237">
        <v>6007.1940000000004</v>
      </c>
      <c r="AG13" s="237">
        <v>6179.2209999999995</v>
      </c>
      <c r="AH13" s="237">
        <v>6149.0410000000002</v>
      </c>
      <c r="AI13" s="237">
        <v>5877.299</v>
      </c>
      <c r="AJ13" s="237">
        <v>5787.55</v>
      </c>
      <c r="AK13" s="237">
        <v>6279.5730000000003</v>
      </c>
      <c r="AL13" s="237">
        <v>6339.808</v>
      </c>
      <c r="AM13" s="237">
        <v>6399.6030000000001</v>
      </c>
      <c r="AN13" s="68">
        <f>6224.086+257.856</f>
        <v>6481.942</v>
      </c>
      <c r="AO13" s="68">
        <f>12866.942+530.735-AN13</f>
        <v>6915.7349999999997</v>
      </c>
      <c r="AP13" s="68">
        <f>19711.248+792.878-AO13-AN13</f>
        <v>7106.4489999999996</v>
      </c>
      <c r="AQ13" s="68">
        <f>26546.951+1049.37+211.736-AP13-AO13-AN13</f>
        <v>7303.9309999999996</v>
      </c>
      <c r="AR13" s="68">
        <f>6909.32+258.253+127.796</f>
        <v>7295.3689999999997</v>
      </c>
      <c r="AS13" s="68">
        <f>14410.374+533.562+236.875-AR13</f>
        <v>7885.442</v>
      </c>
      <c r="AT13" s="68">
        <f>21721.555+779.237+358.349-AS13-AR13</f>
        <v>7678.3300000000008</v>
      </c>
      <c r="AU13" s="68">
        <f>29401.276+1004.943+501.01-AT13-AS13-AR13</f>
        <v>8048.0879999999988</v>
      </c>
      <c r="AW13" s="43" t="s">
        <v>425</v>
      </c>
      <c r="AX13" s="43" t="s">
        <v>147</v>
      </c>
      <c r="BA13" s="295"/>
      <c r="BB13" s="296"/>
      <c r="BC13" s="410"/>
      <c r="BD13" s="297"/>
      <c r="BE13"/>
      <c r="BF13"/>
      <c r="BG13"/>
      <c r="BH13"/>
      <c r="BI13"/>
      <c r="BJ13"/>
      <c r="BK13"/>
      <c r="BL13"/>
      <c r="BM13"/>
    </row>
    <row r="14" spans="1:65" ht="14.4" x14ac:dyDescent="0.3">
      <c r="A14" s="45" t="s">
        <v>388</v>
      </c>
      <c r="B14" s="45"/>
      <c r="C14" s="46"/>
      <c r="D14" s="68">
        <f t="shared" ref="D14:T14" si="13">SUM(D15:D16)</f>
        <v>1171</v>
      </c>
      <c r="E14" s="68">
        <f t="shared" si="13"/>
        <v>1176</v>
      </c>
      <c r="F14" s="68">
        <f t="shared" si="13"/>
        <v>1195</v>
      </c>
      <c r="G14" s="68">
        <f t="shared" si="13"/>
        <v>1175</v>
      </c>
      <c r="H14" s="68">
        <f t="shared" si="13"/>
        <v>1277</v>
      </c>
      <c r="I14" s="68">
        <f t="shared" si="13"/>
        <v>1167</v>
      </c>
      <c r="J14" s="68">
        <f t="shared" si="13"/>
        <v>1150</v>
      </c>
      <c r="K14" s="68">
        <f t="shared" si="13"/>
        <v>1067</v>
      </c>
      <c r="L14" s="68">
        <f t="shared" si="13"/>
        <v>957</v>
      </c>
      <c r="M14" s="68">
        <f t="shared" si="13"/>
        <v>947</v>
      </c>
      <c r="N14" s="68">
        <f t="shared" si="13"/>
        <v>921</v>
      </c>
      <c r="O14" s="68">
        <f t="shared" si="13"/>
        <v>941</v>
      </c>
      <c r="P14" s="68">
        <f t="shared" si="13"/>
        <v>854</v>
      </c>
      <c r="Q14" s="68">
        <f t="shared" si="13"/>
        <v>783</v>
      </c>
      <c r="R14" s="68">
        <f t="shared" si="13"/>
        <v>712</v>
      </c>
      <c r="S14" s="68">
        <f t="shared" si="13"/>
        <v>688</v>
      </c>
      <c r="T14" s="68">
        <f t="shared" si="13"/>
        <v>677</v>
      </c>
      <c r="U14" s="68">
        <f t="shared" ref="U14:V14" si="14">SUM(U15:U16)</f>
        <v>648</v>
      </c>
      <c r="V14" s="68">
        <f t="shared" si="14"/>
        <v>696</v>
      </c>
      <c r="W14" s="68">
        <f t="shared" ref="W14:AA14" si="15">SUM(W15:W16)</f>
        <v>620</v>
      </c>
      <c r="X14" s="68">
        <f t="shared" si="15"/>
        <v>651.15300000000002</v>
      </c>
      <c r="Y14" s="68">
        <f t="shared" si="15"/>
        <v>719.92700000000002</v>
      </c>
      <c r="Z14" s="68">
        <f t="shared" si="15"/>
        <v>826.59400000000005</v>
      </c>
      <c r="AA14" s="68">
        <f t="shared" si="15"/>
        <v>717.53299999999979</v>
      </c>
      <c r="AB14" s="68">
        <f t="shared" ref="AB14:AJ14" si="16">SUM(AB15:AB16)</f>
        <v>557.70100000000002</v>
      </c>
      <c r="AC14" s="68">
        <f t="shared" si="16"/>
        <v>593.4</v>
      </c>
      <c r="AD14" s="68">
        <f t="shared" si="16"/>
        <v>527.67600000000004</v>
      </c>
      <c r="AE14" s="68">
        <f t="shared" si="16"/>
        <v>521.04700000000003</v>
      </c>
      <c r="AF14" s="68">
        <f t="shared" si="16"/>
        <v>492.577</v>
      </c>
      <c r="AG14" s="68">
        <f t="shared" si="16"/>
        <v>407.42700000000002</v>
      </c>
      <c r="AH14" s="68">
        <f t="shared" si="16"/>
        <v>426.875</v>
      </c>
      <c r="AI14" s="68">
        <f t="shared" si="16"/>
        <v>478.5920000000001</v>
      </c>
      <c r="AJ14" s="68">
        <f t="shared" si="16"/>
        <v>462.20000000000005</v>
      </c>
      <c r="AK14" s="68">
        <f t="shared" ref="AK14:AP14" si="17">SUM(AK15:AK16)</f>
        <v>448.74600000000004</v>
      </c>
      <c r="AL14" s="68">
        <f t="shared" si="17"/>
        <v>486.851</v>
      </c>
      <c r="AM14" s="68">
        <f>SUM(AM15:AM16)</f>
        <v>562.00299999999993</v>
      </c>
      <c r="AN14" s="68">
        <f t="shared" si="17"/>
        <v>263.26300000000077</v>
      </c>
      <c r="AO14" s="68">
        <f t="shared" si="17"/>
        <v>425.40999999999883</v>
      </c>
      <c r="AP14" s="68">
        <f t="shared" si="17"/>
        <v>425.00000000000347</v>
      </c>
      <c r="AQ14" s="68">
        <f>SUM(AQ15:AQ16)</f>
        <v>251.27399999999864</v>
      </c>
      <c r="AR14" s="68">
        <f t="shared" ref="AR14:AS14" si="18">SUM(AR15:AR16)</f>
        <v>255.10399999999993</v>
      </c>
      <c r="AS14" s="68">
        <f t="shared" si="18"/>
        <v>337.09800000000132</v>
      </c>
      <c r="AT14" s="68">
        <f t="shared" ref="AT14" si="19">SUM(AT15:AT16)</f>
        <v>428.73099999999829</v>
      </c>
      <c r="AU14" s="68">
        <f>SUM(AU15:AU16)</f>
        <v>409.00000000000273</v>
      </c>
      <c r="AX14" s="43" t="s">
        <v>147</v>
      </c>
      <c r="BA14" s="300"/>
      <c r="BB14" s="300"/>
      <c r="BC14" s="410"/>
      <c r="BD14" s="301"/>
      <c r="BE14"/>
      <c r="BF14"/>
      <c r="BG14"/>
      <c r="BH14"/>
      <c r="BI14"/>
      <c r="BJ14"/>
      <c r="BK14"/>
      <c r="BL14"/>
      <c r="BM14"/>
    </row>
    <row r="15" spans="1:65" ht="14.4" hidden="1" outlineLevel="1" x14ac:dyDescent="0.3">
      <c r="A15" s="269" t="s">
        <v>151</v>
      </c>
      <c r="B15" s="48"/>
      <c r="C15" s="49"/>
      <c r="D15" s="240">
        <v>811</v>
      </c>
      <c r="E15" s="240">
        <v>817</v>
      </c>
      <c r="F15" s="240">
        <v>824</v>
      </c>
      <c r="G15" s="240">
        <v>789</v>
      </c>
      <c r="H15" s="240">
        <v>831</v>
      </c>
      <c r="I15" s="240">
        <v>822</v>
      </c>
      <c r="J15" s="240">
        <v>824</v>
      </c>
      <c r="K15" s="240">
        <v>727</v>
      </c>
      <c r="L15" s="240">
        <v>707</v>
      </c>
      <c r="M15" s="240">
        <v>683</v>
      </c>
      <c r="N15" s="240">
        <v>657</v>
      </c>
      <c r="O15" s="240">
        <v>598</v>
      </c>
      <c r="P15" s="240">
        <v>532</v>
      </c>
      <c r="Q15" s="76">
        <f>1032-P15</f>
        <v>500</v>
      </c>
      <c r="R15" s="76">
        <f>1524-Q15-P15</f>
        <v>492</v>
      </c>
      <c r="S15" s="76">
        <f>1959-R15-Q15-P15</f>
        <v>435</v>
      </c>
      <c r="T15" s="240">
        <v>440</v>
      </c>
      <c r="U15" s="76">
        <f>860-T15</f>
        <v>420</v>
      </c>
      <c r="V15" s="76">
        <f>1269-U15-T15</f>
        <v>409</v>
      </c>
      <c r="W15" s="76">
        <f>1661-V15-U15-T15</f>
        <v>392</v>
      </c>
      <c r="X15" s="240">
        <v>310.91000000000003</v>
      </c>
      <c r="Y15" s="79">
        <v>327.33100000000002</v>
      </c>
      <c r="Z15" s="270">
        <v>356.73399999999998</v>
      </c>
      <c r="AA15" s="76">
        <f>1317.627-Z15-Y15-X15</f>
        <v>322.65199999999999</v>
      </c>
      <c r="AB15" s="240">
        <v>284.40100000000001</v>
      </c>
      <c r="AC15" s="240">
        <v>286</v>
      </c>
      <c r="AD15" s="240">
        <v>283.92</v>
      </c>
      <c r="AE15" s="76">
        <f>1112.614-AB15-AC15-AD15</f>
        <v>258.29299999999995</v>
      </c>
      <c r="AF15" s="240">
        <v>250.59200000000001</v>
      </c>
      <c r="AG15" s="240">
        <v>178.13</v>
      </c>
      <c r="AH15" s="76">
        <f>606.46-AF15-AG15</f>
        <v>177.73800000000006</v>
      </c>
      <c r="AI15" s="76">
        <f>773.286-AF15-AG15-AH15</f>
        <v>166.82599999999991</v>
      </c>
      <c r="AJ15" s="240">
        <v>154.67500000000001</v>
      </c>
      <c r="AK15" s="76">
        <f>308.468-AJ15</f>
        <v>153.79300000000001</v>
      </c>
      <c r="AL15" s="76">
        <f>460.602-AJ15-AK15</f>
        <v>152.13399999999996</v>
      </c>
      <c r="AM15" s="76">
        <f>621.636-AJ15-AK15-AL15</f>
        <v>161.03399999999999</v>
      </c>
      <c r="AN15" s="240">
        <v>126.27800000000001</v>
      </c>
      <c r="AO15" s="76">
        <f>664.313-AN15</f>
        <v>538.03499999999997</v>
      </c>
      <c r="AP15" s="76">
        <f>1006.435-AN15-AO15</f>
        <v>342.12199999999996</v>
      </c>
      <c r="AQ15" s="76">
        <f>1364.947-AO15-AP15-AN15</f>
        <v>358.51199999999994</v>
      </c>
      <c r="AR15" s="240">
        <v>255.10400000000001</v>
      </c>
      <c r="AS15" s="240">
        <f>592.202-AR15</f>
        <v>337.09799999999996</v>
      </c>
      <c r="AT15" s="240">
        <f>1020.933-AS15-AR15</f>
        <v>428.73099999999999</v>
      </c>
      <c r="AU15" s="375">
        <f>1429.933-AT15-AS15-AR15</f>
        <v>409</v>
      </c>
      <c r="AX15" s="43" t="s">
        <v>147</v>
      </c>
      <c r="BA15" s="44"/>
      <c r="BB15" s="299"/>
      <c r="BC15" s="411"/>
      <c r="BE15"/>
      <c r="BF15"/>
      <c r="BG15"/>
      <c r="BH15"/>
      <c r="BI15"/>
      <c r="BJ15"/>
      <c r="BK15"/>
      <c r="BL15"/>
      <c r="BM15"/>
    </row>
    <row r="16" spans="1:65" ht="14.4" hidden="1" outlineLevel="1" x14ac:dyDescent="0.3">
      <c r="A16" s="269" t="s">
        <v>74</v>
      </c>
      <c r="B16" s="48"/>
      <c r="C16" s="49"/>
      <c r="D16" s="240">
        <v>360</v>
      </c>
      <c r="E16" s="240">
        <v>359</v>
      </c>
      <c r="F16" s="240">
        <v>371</v>
      </c>
      <c r="G16" s="240">
        <v>386</v>
      </c>
      <c r="H16" s="240">
        <v>446</v>
      </c>
      <c r="I16" s="240">
        <v>345</v>
      </c>
      <c r="J16" s="240">
        <v>326</v>
      </c>
      <c r="K16" s="240">
        <v>340</v>
      </c>
      <c r="L16" s="240">
        <v>250</v>
      </c>
      <c r="M16" s="240">
        <v>264</v>
      </c>
      <c r="N16" s="240">
        <v>264</v>
      </c>
      <c r="O16" s="240">
        <v>343</v>
      </c>
      <c r="P16" s="240">
        <v>322</v>
      </c>
      <c r="Q16" s="240">
        <v>283</v>
      </c>
      <c r="R16" s="240">
        <v>220</v>
      </c>
      <c r="S16" s="240">
        <v>253</v>
      </c>
      <c r="T16" s="240">
        <v>237</v>
      </c>
      <c r="U16" s="76">
        <f>465-T16</f>
        <v>228</v>
      </c>
      <c r="V16" s="76">
        <f>752-U16-T16</f>
        <v>287</v>
      </c>
      <c r="W16" s="76">
        <f>980-V16-U16-T16</f>
        <v>228</v>
      </c>
      <c r="X16" s="240">
        <f>195.659+80.906+63.678</f>
        <v>340.24299999999999</v>
      </c>
      <c r="Y16" s="79">
        <f>250.208+80.638+61.75</f>
        <v>392.596</v>
      </c>
      <c r="Z16" s="79">
        <f>54.611+81.184+334.065</f>
        <v>469.86</v>
      </c>
      <c r="AA16" s="76">
        <f>315.435+236.269+1045.876-Z16-Y16-X16</f>
        <v>394.8809999999998</v>
      </c>
      <c r="AB16" s="76">
        <f>146.8+75.3+51.2</f>
        <v>273.3</v>
      </c>
      <c r="AC16" s="76">
        <f>183.1+76.8+47.5</f>
        <v>307.39999999999998</v>
      </c>
      <c r="AD16" s="76">
        <f>120.58+77.441+45.735</f>
        <v>243.75600000000003</v>
      </c>
      <c r="AE16" s="76">
        <f>316.485+196.404+574.321-AB16-AC16-AD16</f>
        <v>262.75400000000008</v>
      </c>
      <c r="AF16" s="76">
        <f>123.122+67.292+51.571</f>
        <v>241.98499999999999</v>
      </c>
      <c r="AG16" s="76">
        <f>158.967+25.824+44.506</f>
        <v>229.29700000000003</v>
      </c>
      <c r="AH16" s="76">
        <f>475.002+141.004+104.413-AF16-AG16</f>
        <v>249.13699999999994</v>
      </c>
      <c r="AI16" s="76">
        <f>709.849+195.695+126.641-AF16-AG16-AH16</f>
        <v>311.76600000000019</v>
      </c>
      <c r="AJ16" s="76">
        <f>238.665+56.339+12.521</f>
        <v>307.52500000000003</v>
      </c>
      <c r="AK16" s="76">
        <f>472.389+106.22+23.869-AJ16</f>
        <v>294.95300000000003</v>
      </c>
      <c r="AL16" s="76">
        <f>741.792+164.713+30.69-AJ16-AK16</f>
        <v>334.71700000000004</v>
      </c>
      <c r="AM16" s="76">
        <f>1079.341+212.9+45.923-AJ16-AK16-AL16</f>
        <v>400.96899999999988</v>
      </c>
      <c r="AN16" s="76">
        <f t="shared" ref="AN16:AS16" si="20">AN18-AN13-AN15-AN17</f>
        <v>136.98500000000075</v>
      </c>
      <c r="AO16" s="76">
        <f t="shared" si="20"/>
        <v>-112.62500000000115</v>
      </c>
      <c r="AP16" s="76">
        <f t="shared" si="20"/>
        <v>82.878000000003524</v>
      </c>
      <c r="AQ16" s="76">
        <f t="shared" si="20"/>
        <v>-107.23800000000129</v>
      </c>
      <c r="AR16" s="76">
        <f t="shared" si="20"/>
        <v>-8.6153306710912148E-14</v>
      </c>
      <c r="AS16" s="76">
        <f t="shared" si="20"/>
        <v>1.375788372115494E-12</v>
      </c>
      <c r="AT16" s="76">
        <f t="shared" ref="AT16:AU16" si="21">AT18-AT13-AT15-AT17</f>
        <v>-1.6981971384666394E-12</v>
      </c>
      <c r="AU16" s="76">
        <f t="shared" si="21"/>
        <v>2.7426949600339867E-12</v>
      </c>
      <c r="AX16" s="43" t="s">
        <v>147</v>
      </c>
      <c r="BA16" s="44"/>
      <c r="BC16" s="411"/>
      <c r="BE16"/>
      <c r="BF16"/>
      <c r="BG16"/>
      <c r="BH16"/>
      <c r="BI16"/>
      <c r="BJ16"/>
      <c r="BK16"/>
      <c r="BL16"/>
      <c r="BM16"/>
    </row>
    <row r="17" spans="1:65" s="36" customFormat="1" ht="14.4" collapsed="1" x14ac:dyDescent="0.3">
      <c r="A17" s="290" t="s">
        <v>75</v>
      </c>
      <c r="B17" s="290"/>
      <c r="C17" s="291"/>
      <c r="D17" s="292">
        <v>-25</v>
      </c>
      <c r="E17" s="292">
        <v>-28</v>
      </c>
      <c r="F17" s="292">
        <v>-22</v>
      </c>
      <c r="G17" s="292">
        <v>-10</v>
      </c>
      <c r="H17" s="292">
        <v>-14</v>
      </c>
      <c r="I17" s="292">
        <v>-34</v>
      </c>
      <c r="J17" s="292">
        <v>-47</v>
      </c>
      <c r="K17" s="292">
        <v>-14</v>
      </c>
      <c r="L17" s="292">
        <v>-18</v>
      </c>
      <c r="M17" s="292">
        <v>-21</v>
      </c>
      <c r="N17" s="292">
        <v>-25</v>
      </c>
      <c r="O17" s="292">
        <v>0</v>
      </c>
      <c r="P17" s="292">
        <v>-19</v>
      </c>
      <c r="Q17" s="292">
        <v>-14</v>
      </c>
      <c r="R17" s="292">
        <v>-21</v>
      </c>
      <c r="S17" s="292">
        <v>-16</v>
      </c>
      <c r="T17" s="292">
        <v>-10</v>
      </c>
      <c r="U17" s="293">
        <f>-17-T17</f>
        <v>-7</v>
      </c>
      <c r="V17" s="293">
        <f>-23-U17-T17</f>
        <v>-6</v>
      </c>
      <c r="W17" s="293">
        <f>-26-V17-U17-T17</f>
        <v>-3</v>
      </c>
      <c r="X17" s="293">
        <f t="shared" ref="X17:AA17" si="22">X18-X13-X15-X16</f>
        <v>-3.1910000000004857</v>
      </c>
      <c r="Y17" s="293">
        <f t="shared" si="22"/>
        <v>-17.377000000000749</v>
      </c>
      <c r="Z17" s="293">
        <f t="shared" si="22"/>
        <v>-27.637999999999863</v>
      </c>
      <c r="AA17" s="293">
        <f t="shared" si="22"/>
        <v>-14.04899999999941</v>
      </c>
      <c r="AB17" s="293">
        <f t="shared" ref="AB17:AF17" si="23">AB18-AB13-AB15-AB16</f>
        <v>-6.9679999999998472</v>
      </c>
      <c r="AC17" s="293">
        <f t="shared" si="23"/>
        <v>-6.0000000000003411</v>
      </c>
      <c r="AD17" s="293">
        <f t="shared" si="23"/>
        <v>-2.0129999999995789</v>
      </c>
      <c r="AE17" s="293">
        <f t="shared" si="23"/>
        <v>-2.648000000000593</v>
      </c>
      <c r="AF17" s="293">
        <f t="shared" si="23"/>
        <v>-2.620000000000573</v>
      </c>
      <c r="AG17" s="293">
        <f t="shared" ref="AG17:AI17" si="24">AG18-AG13-AG15-AG16</f>
        <v>-1.6389999999995553</v>
      </c>
      <c r="AH17" s="293">
        <f t="shared" si="24"/>
        <v>-1.9250000000001819</v>
      </c>
      <c r="AI17" s="293">
        <f t="shared" si="24"/>
        <v>-2.9469999999996617</v>
      </c>
      <c r="AJ17" s="293">
        <f t="shared" ref="AJ17:AK17" si="25">AJ18-AJ13-AJ15-AJ16</f>
        <v>-2.3869999999999436</v>
      </c>
      <c r="AK17" s="293">
        <f t="shared" si="25"/>
        <v>-1.4830000000001178</v>
      </c>
      <c r="AL17" s="293">
        <f t="shared" ref="AL17:AM17" si="26">AL18-AL13-AL15-AL16</f>
        <v>-0.66500000000030468</v>
      </c>
      <c r="AM17" s="293">
        <f t="shared" si="26"/>
        <v>-7.7489999999999668</v>
      </c>
      <c r="AN17" s="293">
        <v>-3.1460000000005834</v>
      </c>
      <c r="AO17" s="293">
        <f>-11.55-AN17</f>
        <v>-8.4039999999994173</v>
      </c>
      <c r="AP17" s="293">
        <f>-22.399-AO17-AN17</f>
        <v>-10.849</v>
      </c>
      <c r="AQ17" s="293">
        <f>-31.01-AP17-AO17-AN17</f>
        <v>-8.6110000000000007</v>
      </c>
      <c r="AR17" s="293">
        <v>-3.149</v>
      </c>
      <c r="AS17" s="293">
        <f>-8.486-AR17</f>
        <v>-5.3370000000000006</v>
      </c>
      <c r="AT17" s="293">
        <f>-12.27-AS17-AR17</f>
        <v>-3.7839999999999989</v>
      </c>
      <c r="AU17" s="293">
        <f>-14.511-AT17-AS17-AR17</f>
        <v>-2.2409999999999997</v>
      </c>
      <c r="AV17" s="61"/>
      <c r="AX17" s="43" t="s">
        <v>147</v>
      </c>
      <c r="AY17" s="294"/>
      <c r="AZ17" s="392"/>
      <c r="BA17" s="35"/>
      <c r="BB17" s="294"/>
      <c r="BC17" s="411"/>
      <c r="BD17" s="294"/>
      <c r="BE17"/>
      <c r="BF17"/>
      <c r="BG17"/>
      <c r="BH17"/>
      <c r="BI17"/>
      <c r="BJ17"/>
      <c r="BK17"/>
      <c r="BL17"/>
      <c r="BM17"/>
    </row>
    <row r="18" spans="1:65" s="36" customFormat="1" ht="14.4" x14ac:dyDescent="0.3">
      <c r="A18" s="45" t="s">
        <v>402</v>
      </c>
      <c r="B18" s="45"/>
      <c r="C18" s="46"/>
      <c r="D18" s="68">
        <f>D13+D14+D17</f>
        <v>5758</v>
      </c>
      <c r="E18" s="68">
        <f t="shared" ref="E18:U18" si="27">E13+E14+E17</f>
        <v>6055</v>
      </c>
      <c r="F18" s="68">
        <f t="shared" si="27"/>
        <v>6388</v>
      </c>
      <c r="G18" s="68">
        <f t="shared" si="27"/>
        <v>6383</v>
      </c>
      <c r="H18" s="68">
        <f t="shared" si="27"/>
        <v>5507</v>
      </c>
      <c r="I18" s="68">
        <f t="shared" si="27"/>
        <v>6041</v>
      </c>
      <c r="J18" s="68">
        <f t="shared" si="27"/>
        <v>6006</v>
      </c>
      <c r="K18" s="68">
        <f t="shared" si="27"/>
        <v>5906</v>
      </c>
      <c r="L18" s="68">
        <f t="shared" si="27"/>
        <v>5481</v>
      </c>
      <c r="M18" s="68">
        <f t="shared" si="27"/>
        <v>5611</v>
      </c>
      <c r="N18" s="68">
        <f t="shared" si="27"/>
        <v>5830</v>
      </c>
      <c r="O18" s="68">
        <f t="shared" si="27"/>
        <v>5973</v>
      </c>
      <c r="P18" s="68">
        <f t="shared" si="27"/>
        <v>5616</v>
      </c>
      <c r="Q18" s="68">
        <f t="shared" si="27"/>
        <v>5238</v>
      </c>
      <c r="R18" s="68">
        <f t="shared" si="27"/>
        <v>5230</v>
      </c>
      <c r="S18" s="68">
        <f t="shared" si="27"/>
        <v>5257</v>
      </c>
      <c r="T18" s="68">
        <f t="shared" si="27"/>
        <v>5266</v>
      </c>
      <c r="U18" s="68">
        <f t="shared" si="27"/>
        <v>5667</v>
      </c>
      <c r="V18" s="68">
        <f>16903-U18-T18</f>
        <v>5970</v>
      </c>
      <c r="W18" s="68">
        <f>22901-V18-U18-T18</f>
        <v>5998</v>
      </c>
      <c r="X18" s="237">
        <v>5501.3649999999998</v>
      </c>
      <c r="Y18" s="68">
        <v>5544.6769999999997</v>
      </c>
      <c r="Z18" s="68">
        <v>5846.17</v>
      </c>
      <c r="AA18" s="237">
        <f>22938.812-Z18-Y18-X18</f>
        <v>6046.6</v>
      </c>
      <c r="AB18" s="237">
        <v>5967.2240000000002</v>
      </c>
      <c r="AC18" s="237">
        <v>6289.6049999999996</v>
      </c>
      <c r="AD18" s="237">
        <v>6463.6930000000002</v>
      </c>
      <c r="AE18" s="237">
        <v>6412.33</v>
      </c>
      <c r="AF18" s="237">
        <v>6497.1509999999998</v>
      </c>
      <c r="AG18" s="237">
        <v>6585.009</v>
      </c>
      <c r="AH18" s="237">
        <v>6573.991</v>
      </c>
      <c r="AI18" s="237">
        <v>6352.9440000000004</v>
      </c>
      <c r="AJ18" s="237">
        <v>6247.3630000000003</v>
      </c>
      <c r="AK18" s="237">
        <v>6726.8360000000002</v>
      </c>
      <c r="AL18" s="237">
        <v>6825.9939999999997</v>
      </c>
      <c r="AM18" s="237">
        <v>6953.857</v>
      </c>
      <c r="AN18" s="237">
        <v>6742.0590000000002</v>
      </c>
      <c r="AO18" s="68">
        <f>14074.8-AN18</f>
        <v>7332.7409999999991</v>
      </c>
      <c r="AP18" s="68">
        <f>21595.4-AO18-AN18</f>
        <v>7520.6000000000031</v>
      </c>
      <c r="AQ18" s="68">
        <f>29141.994-AP18-AO18-AN18</f>
        <v>7546.5939999999982</v>
      </c>
      <c r="AR18" s="237">
        <v>7547.3239999999996</v>
      </c>
      <c r="AS18" s="237">
        <f>15764.527-AR18</f>
        <v>8217.2030000000013</v>
      </c>
      <c r="AT18" s="237">
        <f>23867.804-AS18-AR18</f>
        <v>8103.2769999999991</v>
      </c>
      <c r="AU18" s="372">
        <f>32322.651-AT18-AS18-AR18</f>
        <v>8454.8470000000016</v>
      </c>
      <c r="AV18" s="43"/>
      <c r="AW18" s="43"/>
      <c r="AX18" s="43" t="s">
        <v>389</v>
      </c>
      <c r="AY18" s="295"/>
      <c r="AZ18" s="391"/>
      <c r="BA18" s="44"/>
      <c r="BB18" s="296"/>
      <c r="BC18" s="410">
        <f>SUM(AN18:AQ18)</f>
        <v>29141.993999999999</v>
      </c>
      <c r="BD18" s="303">
        <f>SUM(AR18:AU18)</f>
        <v>32322.651000000002</v>
      </c>
      <c r="BE18" s="404">
        <f>BD18/BC18-1</f>
        <v>0.10914342374787411</v>
      </c>
      <c r="BF18"/>
      <c r="BG18"/>
      <c r="BH18"/>
      <c r="BI18"/>
      <c r="BJ18"/>
      <c r="BK18"/>
      <c r="BL18"/>
      <c r="BM18"/>
    </row>
    <row r="19" spans="1:65" x14ac:dyDescent="0.25">
      <c r="A19" s="45"/>
      <c r="B19" s="45"/>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68"/>
      <c r="AD19" s="68"/>
      <c r="AE19" s="68"/>
      <c r="AF19" s="68"/>
      <c r="AG19" s="68"/>
      <c r="AH19" s="68"/>
      <c r="AI19" s="68"/>
      <c r="AJ19" s="68"/>
      <c r="AK19" s="68"/>
      <c r="AL19" s="68"/>
      <c r="AM19" s="71"/>
      <c r="AN19" s="71"/>
      <c r="AO19" s="71"/>
      <c r="AP19" s="71"/>
      <c r="AQ19" s="71"/>
      <c r="AR19" s="71"/>
      <c r="AS19" s="71"/>
      <c r="AT19" s="71"/>
      <c r="AU19" s="71"/>
      <c r="BA19" s="44"/>
      <c r="BB19" s="299"/>
      <c r="BC19" s="411"/>
    </row>
    <row r="20" spans="1:65" x14ac:dyDescent="0.25">
      <c r="A20" s="52" t="s">
        <v>424</v>
      </c>
      <c r="B20" s="52"/>
      <c r="C20" s="53"/>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35"/>
      <c r="AL20" s="235"/>
      <c r="AM20" s="236"/>
      <c r="AN20" s="236"/>
      <c r="AO20" s="268"/>
      <c r="AP20" s="53"/>
      <c r="AQ20" s="53"/>
      <c r="AR20" s="236"/>
      <c r="AS20" s="236"/>
      <c r="AT20" s="236"/>
      <c r="AU20" s="53"/>
      <c r="BA20" s="44"/>
      <c r="BB20" s="302"/>
      <c r="BC20" s="411"/>
    </row>
    <row r="21" spans="1:65" s="51" customFormat="1" x14ac:dyDescent="0.25">
      <c r="A21" s="54" t="s">
        <v>379</v>
      </c>
      <c r="B21" s="55"/>
      <c r="C21" s="46"/>
      <c r="D21" s="237">
        <v>4612</v>
      </c>
      <c r="E21" s="237">
        <v>4907</v>
      </c>
      <c r="F21" s="237">
        <v>5215</v>
      </c>
      <c r="G21" s="237">
        <v>5218</v>
      </c>
      <c r="H21" s="237">
        <v>4244</v>
      </c>
      <c r="I21" s="237">
        <v>4908</v>
      </c>
      <c r="J21" s="237">
        <v>4903</v>
      </c>
      <c r="K21" s="237">
        <v>4853</v>
      </c>
      <c r="L21" s="237">
        <v>4542</v>
      </c>
      <c r="M21" s="237">
        <v>4685</v>
      </c>
      <c r="N21" s="237">
        <v>4934</v>
      </c>
      <c r="O21" s="237">
        <v>5032</v>
      </c>
      <c r="P21" s="237">
        <v>4781</v>
      </c>
      <c r="Q21" s="237">
        <v>4469</v>
      </c>
      <c r="R21" s="237">
        <v>4539</v>
      </c>
      <c r="S21" s="237">
        <v>4585</v>
      </c>
      <c r="T21" s="237">
        <v>4599</v>
      </c>
      <c r="U21" s="237">
        <v>5027</v>
      </c>
      <c r="V21" s="237">
        <v>5280</v>
      </c>
      <c r="W21" s="237">
        <v>5355</v>
      </c>
      <c r="X21" s="237">
        <v>4810</v>
      </c>
      <c r="Y21" s="237">
        <f>9593-X21</f>
        <v>4783</v>
      </c>
      <c r="Z21" s="237">
        <f>14591-Y21-X21</f>
        <v>4998</v>
      </c>
      <c r="AA21" s="237">
        <v>5292</v>
      </c>
      <c r="AB21" s="237">
        <v>5387</v>
      </c>
      <c r="AC21" s="237">
        <v>5678</v>
      </c>
      <c r="AD21" s="237">
        <v>5917</v>
      </c>
      <c r="AE21" s="237">
        <v>5861</v>
      </c>
      <c r="AF21" s="237">
        <v>5980</v>
      </c>
      <c r="AG21" s="237">
        <v>6158</v>
      </c>
      <c r="AH21" s="237">
        <v>6131</v>
      </c>
      <c r="AI21" s="237">
        <v>5861</v>
      </c>
      <c r="AJ21" s="237">
        <f>24508-AK21-AL21-AM21</f>
        <v>5652</v>
      </c>
      <c r="AK21" s="237">
        <v>6151</v>
      </c>
      <c r="AL21" s="237">
        <v>6290</v>
      </c>
      <c r="AM21" s="238">
        <v>6415</v>
      </c>
      <c r="AN21" s="237">
        <v>6224</v>
      </c>
      <c r="AO21" s="237">
        <v>6643</v>
      </c>
      <c r="AP21" s="237">
        <v>6846</v>
      </c>
      <c r="AQ21" s="237">
        <v>6836</v>
      </c>
      <c r="AR21" s="237">
        <v>6910</v>
      </c>
      <c r="AS21" s="237">
        <v>7501</v>
      </c>
      <c r="AT21" s="237">
        <v>7311</v>
      </c>
      <c r="AU21" s="237">
        <v>7680</v>
      </c>
      <c r="AW21" s="51" t="s">
        <v>437</v>
      </c>
      <c r="AX21" s="51" t="s">
        <v>380</v>
      </c>
      <c r="AY21" s="300"/>
      <c r="AZ21" s="391" cm="1">
        <f t="array" ref="AZ21">_xll.VAData("EXCL_IJ", "4QFY-2023", "Data revenue", "Consensus", "CD", "IMPL","","")</f>
        <v>7462.5210861592177</v>
      </c>
      <c r="BA21" s="280">
        <f>AU21/AZ21-1</f>
        <v>2.9142820680820858E-2</v>
      </c>
      <c r="BB21" s="300"/>
      <c r="BC21" s="411"/>
      <c r="BD21" s="300"/>
      <c r="BE21" s="300"/>
    </row>
    <row r="22" spans="1:65" s="51" customFormat="1" x14ac:dyDescent="0.25">
      <c r="A22" s="54" t="s">
        <v>79</v>
      </c>
      <c r="B22" s="54"/>
      <c r="C22" s="49"/>
      <c r="D22" s="76">
        <f>D23-D21</f>
        <v>1171</v>
      </c>
      <c r="E22" s="76">
        <f t="shared" ref="E22:W22" si="28">E23-E21</f>
        <v>1176</v>
      </c>
      <c r="F22" s="76">
        <f t="shared" si="28"/>
        <v>1195</v>
      </c>
      <c r="G22" s="76">
        <f t="shared" si="28"/>
        <v>1175</v>
      </c>
      <c r="H22" s="76">
        <f t="shared" si="28"/>
        <v>1277</v>
      </c>
      <c r="I22" s="76">
        <f t="shared" si="28"/>
        <v>1167</v>
      </c>
      <c r="J22" s="76">
        <f t="shared" si="28"/>
        <v>1150</v>
      </c>
      <c r="K22" s="76">
        <f t="shared" si="28"/>
        <v>1067</v>
      </c>
      <c r="L22" s="76">
        <f t="shared" si="28"/>
        <v>957</v>
      </c>
      <c r="M22" s="76">
        <f t="shared" si="28"/>
        <v>947</v>
      </c>
      <c r="N22" s="76">
        <f t="shared" si="28"/>
        <v>921</v>
      </c>
      <c r="O22" s="76">
        <f t="shared" si="28"/>
        <v>941</v>
      </c>
      <c r="P22" s="76">
        <f t="shared" si="28"/>
        <v>854</v>
      </c>
      <c r="Q22" s="76">
        <f t="shared" si="28"/>
        <v>783</v>
      </c>
      <c r="R22" s="76">
        <f t="shared" si="28"/>
        <v>712</v>
      </c>
      <c r="S22" s="76">
        <f t="shared" si="28"/>
        <v>688</v>
      </c>
      <c r="T22" s="76">
        <f t="shared" si="28"/>
        <v>677</v>
      </c>
      <c r="U22" s="76">
        <f t="shared" si="28"/>
        <v>647</v>
      </c>
      <c r="V22" s="76">
        <f t="shared" si="28"/>
        <v>696</v>
      </c>
      <c r="W22" s="76">
        <f t="shared" si="28"/>
        <v>620</v>
      </c>
      <c r="X22" s="76">
        <f>X23-X21</f>
        <v>694.55600000000049</v>
      </c>
      <c r="Y22" s="76">
        <f t="shared" ref="Y22:AB22" si="29">Y23-Y21</f>
        <v>779.05400000000009</v>
      </c>
      <c r="Z22" s="76">
        <f t="shared" si="29"/>
        <v>875.80799999999999</v>
      </c>
      <c r="AA22" s="76">
        <f t="shared" si="29"/>
        <v>768.64899999999943</v>
      </c>
      <c r="AB22" s="76">
        <f t="shared" si="29"/>
        <v>587.19200000000001</v>
      </c>
      <c r="AC22" s="76">
        <f t="shared" ref="AC22:AH22" si="30">AC23-AC21</f>
        <v>617.60499999999956</v>
      </c>
      <c r="AD22" s="76">
        <f t="shared" si="30"/>
        <v>548.70600000000013</v>
      </c>
      <c r="AE22" s="76">
        <f t="shared" si="30"/>
        <v>553.97800000000097</v>
      </c>
      <c r="AF22" s="76">
        <f t="shared" si="30"/>
        <v>519.77100000000064</v>
      </c>
      <c r="AG22" s="76">
        <f t="shared" si="30"/>
        <v>428.64799999999923</v>
      </c>
      <c r="AH22" s="76">
        <f t="shared" si="30"/>
        <v>444.91600000000017</v>
      </c>
      <c r="AI22" s="76">
        <f>AI23-AI21</f>
        <v>494.89099999999962</v>
      </c>
      <c r="AJ22" s="76">
        <f>2259-AK22-AL22-AM22</f>
        <v>599</v>
      </c>
      <c r="AK22" s="76">
        <v>578</v>
      </c>
      <c r="AL22" s="76">
        <v>536</v>
      </c>
      <c r="AM22" s="396">
        <v>546</v>
      </c>
      <c r="AN22" s="76">
        <v>521</v>
      </c>
      <c r="AO22" s="76">
        <v>699</v>
      </c>
      <c r="AP22" s="76">
        <v>687</v>
      </c>
      <c r="AQ22" s="76">
        <v>716</v>
      </c>
      <c r="AR22" s="76">
        <v>641</v>
      </c>
      <c r="AS22" s="76">
        <v>723</v>
      </c>
      <c r="AT22" s="76">
        <v>797</v>
      </c>
      <c r="AU22" s="76">
        <v>778</v>
      </c>
      <c r="AW22" s="51" t="s">
        <v>422</v>
      </c>
      <c r="AX22" s="51" t="s">
        <v>380</v>
      </c>
      <c r="AY22" s="300"/>
      <c r="AZ22" s="391"/>
      <c r="BA22" s="56"/>
      <c r="BB22" s="300"/>
      <c r="BC22" s="411"/>
      <c r="BD22" s="300"/>
      <c r="BE22" s="300"/>
    </row>
    <row r="23" spans="1:65" x14ac:dyDescent="0.25">
      <c r="A23" s="57" t="s">
        <v>382</v>
      </c>
      <c r="B23" s="57"/>
      <c r="C23" s="58"/>
      <c r="D23" s="390">
        <v>5783</v>
      </c>
      <c r="E23" s="390">
        <v>6083</v>
      </c>
      <c r="F23" s="390">
        <v>6410</v>
      </c>
      <c r="G23" s="390">
        <v>6393</v>
      </c>
      <c r="H23" s="390">
        <v>5521</v>
      </c>
      <c r="I23" s="390">
        <v>6075</v>
      </c>
      <c r="J23" s="390">
        <v>6053</v>
      </c>
      <c r="K23" s="390">
        <v>5920</v>
      </c>
      <c r="L23" s="390">
        <v>5499</v>
      </c>
      <c r="M23" s="390">
        <v>5632</v>
      </c>
      <c r="N23" s="390">
        <v>5855</v>
      </c>
      <c r="O23" s="390">
        <v>5973</v>
      </c>
      <c r="P23" s="390">
        <v>5635</v>
      </c>
      <c r="Q23" s="390">
        <v>5252</v>
      </c>
      <c r="R23" s="390">
        <v>5251</v>
      </c>
      <c r="S23" s="390">
        <v>5273</v>
      </c>
      <c r="T23" s="390">
        <v>5276</v>
      </c>
      <c r="U23" s="390">
        <v>5674</v>
      </c>
      <c r="V23" s="390">
        <v>5976</v>
      </c>
      <c r="W23" s="390">
        <v>5975</v>
      </c>
      <c r="X23" s="390">
        <v>5504.5560000000005</v>
      </c>
      <c r="Y23" s="390">
        <v>5562.0540000000001</v>
      </c>
      <c r="Z23" s="390">
        <v>5873.808</v>
      </c>
      <c r="AA23" s="390">
        <v>6060.6489999999994</v>
      </c>
      <c r="AB23" s="390">
        <v>5974.192</v>
      </c>
      <c r="AC23" s="390">
        <v>6295.6049999999996</v>
      </c>
      <c r="AD23" s="390">
        <v>6465.7060000000001</v>
      </c>
      <c r="AE23" s="390">
        <v>6414.978000000001</v>
      </c>
      <c r="AF23" s="390">
        <v>6499.7710000000006</v>
      </c>
      <c r="AG23" s="390">
        <v>6586.6479999999992</v>
      </c>
      <c r="AH23" s="390">
        <v>6575.9160000000002</v>
      </c>
      <c r="AI23" s="390">
        <v>6355.8909999999996</v>
      </c>
      <c r="AJ23" s="390">
        <v>6251</v>
      </c>
      <c r="AK23" s="390">
        <v>6729</v>
      </c>
      <c r="AL23" s="390">
        <v>6826</v>
      </c>
      <c r="AM23" s="390">
        <v>6961</v>
      </c>
      <c r="AN23" s="390">
        <v>6745</v>
      </c>
      <c r="AO23" s="390">
        <v>7342</v>
      </c>
      <c r="AP23" s="390">
        <v>7533</v>
      </c>
      <c r="AQ23" s="390">
        <v>7552</v>
      </c>
      <c r="AR23" s="390">
        <v>7551</v>
      </c>
      <c r="AS23" s="390">
        <v>8224</v>
      </c>
      <c r="AT23" s="390">
        <v>8108</v>
      </c>
      <c r="AU23" s="390">
        <v>8458</v>
      </c>
      <c r="AX23" s="51" t="s">
        <v>380</v>
      </c>
      <c r="AY23" s="300"/>
      <c r="BA23" s="44"/>
      <c r="BB23" s="302"/>
      <c r="BC23" s="411"/>
    </row>
    <row r="24" spans="1:65" x14ac:dyDescent="0.25">
      <c r="A24" s="48" t="s">
        <v>75</v>
      </c>
      <c r="B24" s="45"/>
      <c r="C24" s="46"/>
      <c r="D24" s="76">
        <f>D25-D23</f>
        <v>-25</v>
      </c>
      <c r="E24" s="76">
        <f t="shared" ref="E24:AI24" si="31">E25-E23</f>
        <v>-28</v>
      </c>
      <c r="F24" s="76">
        <f t="shared" si="31"/>
        <v>-22</v>
      </c>
      <c r="G24" s="76">
        <f t="shared" si="31"/>
        <v>-10</v>
      </c>
      <c r="H24" s="76">
        <f t="shared" si="31"/>
        <v>-14</v>
      </c>
      <c r="I24" s="76">
        <f t="shared" si="31"/>
        <v>-34</v>
      </c>
      <c r="J24" s="76">
        <f t="shared" si="31"/>
        <v>-47</v>
      </c>
      <c r="K24" s="76">
        <f t="shared" si="31"/>
        <v>-14</v>
      </c>
      <c r="L24" s="76">
        <f t="shared" si="31"/>
        <v>-18</v>
      </c>
      <c r="M24" s="76">
        <f t="shared" si="31"/>
        <v>-21</v>
      </c>
      <c r="N24" s="76">
        <f t="shared" si="31"/>
        <v>-25</v>
      </c>
      <c r="O24" s="76">
        <f t="shared" si="31"/>
        <v>0</v>
      </c>
      <c r="P24" s="76">
        <f t="shared" si="31"/>
        <v>-19</v>
      </c>
      <c r="Q24" s="76">
        <f t="shared" si="31"/>
        <v>-14</v>
      </c>
      <c r="R24" s="76">
        <f t="shared" si="31"/>
        <v>-21</v>
      </c>
      <c r="S24" s="76">
        <f t="shared" si="31"/>
        <v>-16</v>
      </c>
      <c r="T24" s="76">
        <f t="shared" si="31"/>
        <v>-10</v>
      </c>
      <c r="U24" s="76">
        <f t="shared" si="31"/>
        <v>-7</v>
      </c>
      <c r="V24" s="76">
        <f t="shared" si="31"/>
        <v>-6</v>
      </c>
      <c r="W24" s="76">
        <f t="shared" si="31"/>
        <v>23</v>
      </c>
      <c r="X24" s="76">
        <f t="shared" si="31"/>
        <v>-3.191000000000713</v>
      </c>
      <c r="Y24" s="76">
        <f t="shared" si="31"/>
        <v>-17.377000000000407</v>
      </c>
      <c r="Z24" s="76">
        <f t="shared" si="31"/>
        <v>-27.63799999999992</v>
      </c>
      <c r="AA24" s="76">
        <f t="shared" si="31"/>
        <v>-14.048999999999069</v>
      </c>
      <c r="AB24" s="76">
        <f t="shared" si="31"/>
        <v>-6.9679999999998472</v>
      </c>
      <c r="AC24" s="76">
        <f t="shared" si="31"/>
        <v>-6</v>
      </c>
      <c r="AD24" s="76">
        <f t="shared" si="31"/>
        <v>-2.01299999999992</v>
      </c>
      <c r="AE24" s="76">
        <f t="shared" si="31"/>
        <v>-2.6480000000010477</v>
      </c>
      <c r="AF24" s="76">
        <f t="shared" si="31"/>
        <v>-2.6200000000008004</v>
      </c>
      <c r="AG24" s="76">
        <f t="shared" si="31"/>
        <v>-1.6389999999992142</v>
      </c>
      <c r="AH24" s="76">
        <f t="shared" si="31"/>
        <v>-1.9250000000001819</v>
      </c>
      <c r="AI24" s="76">
        <f t="shared" si="31"/>
        <v>-2.9469999999992069</v>
      </c>
      <c r="AJ24" s="262">
        <f t="shared" ref="AJ24:AQ24" si="32">AJ25-AJ23</f>
        <v>-3.6369999999997162</v>
      </c>
      <c r="AK24" s="262">
        <f t="shared" si="32"/>
        <v>-2.1639999999997599</v>
      </c>
      <c r="AL24" s="262">
        <f t="shared" si="32"/>
        <v>-6.0000000003128662E-3</v>
      </c>
      <c r="AM24" s="262">
        <f t="shared" si="32"/>
        <v>-7.1430000000000291</v>
      </c>
      <c r="AN24" s="262">
        <f t="shared" si="32"/>
        <v>-2.9409999999998035</v>
      </c>
      <c r="AO24" s="262">
        <f t="shared" si="32"/>
        <v>-9.259000000000924</v>
      </c>
      <c r="AP24" s="262">
        <f t="shared" si="32"/>
        <v>-12.399999999996908</v>
      </c>
      <c r="AQ24" s="262">
        <f t="shared" si="32"/>
        <v>-5.4060000000017681</v>
      </c>
      <c r="AR24" s="262">
        <f t="shared" ref="AR24:AS24" si="33">AR25-AR23</f>
        <v>-3.6760000000003856</v>
      </c>
      <c r="AS24" s="262">
        <f t="shared" si="33"/>
        <v>-6.7969999999986612</v>
      </c>
      <c r="AT24" s="262">
        <f t="shared" ref="AT24:AU24" si="34">AT25-AT23</f>
        <v>-4.7230000000008658</v>
      </c>
      <c r="AU24" s="262">
        <f t="shared" si="34"/>
        <v>-3.1529999999984284</v>
      </c>
      <c r="BA24" s="44"/>
      <c r="BB24" s="302"/>
      <c r="BC24" s="411"/>
    </row>
    <row r="25" spans="1:65" ht="14.4" x14ac:dyDescent="0.3">
      <c r="A25" s="59" t="s">
        <v>381</v>
      </c>
      <c r="B25" s="60"/>
      <c r="C25" s="60"/>
      <c r="D25" s="388">
        <v>5758</v>
      </c>
      <c r="E25" s="388">
        <v>6055</v>
      </c>
      <c r="F25" s="388">
        <v>6388</v>
      </c>
      <c r="G25" s="388">
        <v>6383</v>
      </c>
      <c r="H25" s="388">
        <v>5507</v>
      </c>
      <c r="I25" s="388">
        <v>6041</v>
      </c>
      <c r="J25" s="388">
        <v>6006</v>
      </c>
      <c r="K25" s="388">
        <v>5906</v>
      </c>
      <c r="L25" s="388">
        <v>5481</v>
      </c>
      <c r="M25" s="388">
        <v>5611</v>
      </c>
      <c r="N25" s="388">
        <v>5830</v>
      </c>
      <c r="O25" s="388">
        <v>5973</v>
      </c>
      <c r="P25" s="388">
        <v>5616</v>
      </c>
      <c r="Q25" s="388">
        <v>5238</v>
      </c>
      <c r="R25" s="388">
        <v>5230</v>
      </c>
      <c r="S25" s="388">
        <v>5257</v>
      </c>
      <c r="T25" s="388">
        <v>5266</v>
      </c>
      <c r="U25" s="388">
        <v>5667</v>
      </c>
      <c r="V25" s="388">
        <v>5970</v>
      </c>
      <c r="W25" s="388">
        <v>5998</v>
      </c>
      <c r="X25" s="388">
        <v>5501.3649999999998</v>
      </c>
      <c r="Y25" s="388">
        <v>5544.6769999999997</v>
      </c>
      <c r="Z25" s="388">
        <v>5846.17</v>
      </c>
      <c r="AA25" s="388">
        <v>6046.6</v>
      </c>
      <c r="AB25" s="388">
        <v>5967.2240000000002</v>
      </c>
      <c r="AC25" s="388">
        <v>6289.6049999999996</v>
      </c>
      <c r="AD25" s="388">
        <v>6463.6930000000002</v>
      </c>
      <c r="AE25" s="388">
        <v>6412.33</v>
      </c>
      <c r="AF25" s="388">
        <v>6497.1509999999998</v>
      </c>
      <c r="AG25" s="388">
        <v>6585.009</v>
      </c>
      <c r="AH25" s="388">
        <v>6573.991</v>
      </c>
      <c r="AI25" s="388">
        <v>6352.9440000000004</v>
      </c>
      <c r="AJ25" s="389">
        <v>6247.3630000000003</v>
      </c>
      <c r="AK25" s="389">
        <v>6726.8360000000002</v>
      </c>
      <c r="AL25" s="389">
        <v>6825.9939999999997</v>
      </c>
      <c r="AM25" s="389">
        <v>6953.857</v>
      </c>
      <c r="AN25" s="389">
        <v>6742.0590000000002</v>
      </c>
      <c r="AO25" s="389">
        <v>7332.7409999999991</v>
      </c>
      <c r="AP25" s="389">
        <v>7520.6000000000031</v>
      </c>
      <c r="AQ25" s="389">
        <v>7546.5939999999982</v>
      </c>
      <c r="AR25" s="389">
        <v>7547.3239999999996</v>
      </c>
      <c r="AS25" s="389">
        <v>8217.2030000000013</v>
      </c>
      <c r="AT25" s="389">
        <f>AT18</f>
        <v>8103.2769999999991</v>
      </c>
      <c r="AU25" s="389">
        <f>AU18</f>
        <v>8454.8470000000016</v>
      </c>
      <c r="AW25" s="36" t="s">
        <v>433</v>
      </c>
      <c r="AZ25" s="391" cm="1">
        <f t="array" ref="AZ25">_xll.VAData("EXCL_IJ", "4QFY-2023", "Net revenue", "Consensus", "CD", "IMPL","","")</f>
        <v>8117.1897442421023</v>
      </c>
      <c r="BA25" s="280">
        <f>AU25/AZ25-1</f>
        <v>4.1597802490377367E-2</v>
      </c>
      <c r="BB25" s="302"/>
      <c r="BC25" s="410">
        <f>SUM(AN25:AQ25)</f>
        <v>29141.993999999999</v>
      </c>
      <c r="BD25" s="303">
        <f>SUM(AR25:AU25)</f>
        <v>32322.651000000002</v>
      </c>
      <c r="BE25" s="404">
        <f>BD25/BC25-1</f>
        <v>0.10914342374787411</v>
      </c>
    </row>
    <row r="26" spans="1:65" s="134" customFormat="1" x14ac:dyDescent="0.25">
      <c r="A26" s="264"/>
      <c r="B26" s="264"/>
      <c r="C26" s="126"/>
      <c r="D26" s="242"/>
      <c r="E26" s="77"/>
      <c r="F26" s="242"/>
      <c r="G26" s="242"/>
      <c r="H26" s="242"/>
      <c r="I26" s="242"/>
      <c r="J26" s="242"/>
      <c r="K26" s="242"/>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77">
        <f t="shared" ref="AN26:AU26" si="35">AN25/AJ25-1</f>
        <v>7.9184769638005692E-2</v>
      </c>
      <c r="AO26" s="77">
        <f t="shared" si="35"/>
        <v>9.0072806888706447E-2</v>
      </c>
      <c r="AP26" s="77">
        <f t="shared" si="35"/>
        <v>0.10175895261554624</v>
      </c>
      <c r="AQ26" s="77">
        <f t="shared" si="35"/>
        <v>8.5238594926527522E-2</v>
      </c>
      <c r="AR26" s="77">
        <f t="shared" si="35"/>
        <v>0.1194390319040517</v>
      </c>
      <c r="AS26" s="77">
        <f t="shared" si="35"/>
        <v>0.12061819720620193</v>
      </c>
      <c r="AT26" s="77">
        <f t="shared" si="35"/>
        <v>7.7477461904634781E-2</v>
      </c>
      <c r="AU26" s="77">
        <f t="shared" si="35"/>
        <v>0.12035270480961402</v>
      </c>
      <c r="AY26" s="304"/>
      <c r="AZ26" s="393"/>
      <c r="BA26" s="44"/>
      <c r="BB26" s="304"/>
      <c r="BC26" s="412"/>
      <c r="BD26" s="304"/>
      <c r="BE26" s="304"/>
      <c r="BF26" s="304"/>
      <c r="BG26" s="304"/>
      <c r="BH26" s="304"/>
      <c r="BI26" s="304"/>
    </row>
    <row r="27" spans="1:65" s="134" customFormat="1" x14ac:dyDescent="0.25">
      <c r="A27" s="397" t="s">
        <v>419</v>
      </c>
      <c r="B27" s="264"/>
      <c r="C27" s="126"/>
      <c r="D27" s="242"/>
      <c r="E27" s="77"/>
      <c r="F27" s="242"/>
      <c r="G27" s="242"/>
      <c r="H27" s="242"/>
      <c r="I27" s="242"/>
      <c r="J27" s="242"/>
      <c r="K27" s="242"/>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77"/>
      <c r="AO27" s="77"/>
      <c r="AP27" s="77"/>
      <c r="AQ27" s="77"/>
      <c r="AR27" s="77"/>
      <c r="AS27" s="77"/>
      <c r="AT27" s="77"/>
      <c r="AU27" s="77"/>
      <c r="AY27" s="304"/>
      <c r="AZ27" s="393"/>
      <c r="BA27" s="44"/>
      <c r="BB27" s="304"/>
      <c r="BC27" s="412"/>
      <c r="BD27" s="304"/>
      <c r="BE27" s="304"/>
      <c r="BF27" s="304"/>
      <c r="BG27" s="304"/>
      <c r="BH27" s="304"/>
      <c r="BI27" s="304"/>
    </row>
    <row r="28" spans="1:65" s="134" customFormat="1" x14ac:dyDescent="0.25">
      <c r="A28" s="48" t="s">
        <v>399</v>
      </c>
      <c r="B28" s="264"/>
      <c r="C28" s="126"/>
      <c r="D28" s="373">
        <f>D6</f>
        <v>4972</v>
      </c>
      <c r="E28" s="373">
        <f t="shared" ref="E28:AS28" si="36">E6</f>
        <v>5266</v>
      </c>
      <c r="F28" s="373">
        <f t="shared" si="36"/>
        <v>5586</v>
      </c>
      <c r="G28" s="373">
        <f t="shared" si="36"/>
        <v>5604</v>
      </c>
      <c r="H28" s="373">
        <f t="shared" si="36"/>
        <v>4690</v>
      </c>
      <c r="I28" s="373">
        <f t="shared" si="36"/>
        <v>5253</v>
      </c>
      <c r="J28" s="373">
        <f t="shared" si="36"/>
        <v>5229</v>
      </c>
      <c r="K28" s="373">
        <f t="shared" si="36"/>
        <v>5193</v>
      </c>
      <c r="L28" s="373">
        <f t="shared" si="36"/>
        <v>4792</v>
      </c>
      <c r="M28" s="373">
        <f t="shared" si="36"/>
        <v>4949</v>
      </c>
      <c r="N28" s="373">
        <f t="shared" si="36"/>
        <v>5198</v>
      </c>
      <c r="O28" s="373">
        <f t="shared" si="36"/>
        <v>5375</v>
      </c>
      <c r="P28" s="373">
        <f t="shared" si="36"/>
        <v>5103</v>
      </c>
      <c r="Q28" s="373">
        <f t="shared" si="36"/>
        <v>4752</v>
      </c>
      <c r="R28" s="373">
        <f t="shared" si="36"/>
        <v>4759</v>
      </c>
      <c r="S28" s="373">
        <f t="shared" si="36"/>
        <v>4838</v>
      </c>
      <c r="T28" s="373">
        <f t="shared" si="36"/>
        <v>4836</v>
      </c>
      <c r="U28" s="373">
        <f t="shared" si="36"/>
        <v>5254</v>
      </c>
      <c r="V28" s="373">
        <f t="shared" si="36"/>
        <v>5567</v>
      </c>
      <c r="W28" s="373">
        <f t="shared" si="36"/>
        <v>5583</v>
      </c>
      <c r="X28" s="373">
        <f t="shared" si="36"/>
        <v>5193.6460000000006</v>
      </c>
      <c r="Y28" s="373">
        <f t="shared" si="36"/>
        <v>5234.723</v>
      </c>
      <c r="Z28" s="373">
        <f t="shared" si="36"/>
        <v>5517.0739999999996</v>
      </c>
      <c r="AA28" s="373">
        <f t="shared" si="36"/>
        <v>5737.9969999999994</v>
      </c>
      <c r="AB28" s="373">
        <f t="shared" si="36"/>
        <v>5689.7910000000002</v>
      </c>
      <c r="AC28" s="373">
        <f t="shared" si="36"/>
        <v>6009.848</v>
      </c>
      <c r="AD28" s="373">
        <f t="shared" si="36"/>
        <v>6181.786000000001</v>
      </c>
      <c r="AE28" s="373">
        <f t="shared" si="36"/>
        <v>6156.2179999999989</v>
      </c>
      <c r="AF28" s="373">
        <f t="shared" si="36"/>
        <v>6249.179000000001</v>
      </c>
      <c r="AG28" s="373">
        <f t="shared" si="36"/>
        <v>6412.7769999999991</v>
      </c>
      <c r="AH28" s="373">
        <f t="shared" si="36"/>
        <v>6393.9189999999999</v>
      </c>
      <c r="AI28" s="373">
        <f t="shared" si="36"/>
        <v>6189.0650000000005</v>
      </c>
      <c r="AJ28" s="373">
        <f t="shared" si="36"/>
        <v>6095.0749999999998</v>
      </c>
      <c r="AK28" s="373">
        <f t="shared" si="36"/>
        <v>6432.9270000000006</v>
      </c>
      <c r="AL28" s="373">
        <f t="shared" si="36"/>
        <v>6596.527</v>
      </c>
      <c r="AM28" s="373">
        <f t="shared" si="36"/>
        <v>6689.4110000000001</v>
      </c>
      <c r="AN28" s="373">
        <f t="shared" si="36"/>
        <v>6481.9420000000009</v>
      </c>
      <c r="AO28" s="373">
        <f t="shared" si="36"/>
        <v>6915.7349999999997</v>
      </c>
      <c r="AP28" s="373">
        <f t="shared" si="36"/>
        <v>7106.4489999999996</v>
      </c>
      <c r="AQ28" s="373">
        <f t="shared" si="36"/>
        <v>7092.1949999999997</v>
      </c>
      <c r="AR28" s="373">
        <f t="shared" si="36"/>
        <v>7167.5730000000003</v>
      </c>
      <c r="AS28" s="373">
        <f t="shared" si="36"/>
        <v>7776.3630000000003</v>
      </c>
      <c r="AT28" s="373">
        <f t="shared" ref="AT28:AU28" si="37">AT6</f>
        <v>7556.8560000000016</v>
      </c>
      <c r="AU28" s="373">
        <f t="shared" si="37"/>
        <v>7905.426999999996</v>
      </c>
      <c r="AY28" s="304"/>
      <c r="AZ28" s="393"/>
      <c r="BA28" s="44"/>
      <c r="BB28" s="304"/>
      <c r="BC28" s="412"/>
      <c r="BD28" s="304"/>
      <c r="BE28" s="304"/>
      <c r="BF28" s="304"/>
      <c r="BG28" s="304"/>
      <c r="BH28" s="304"/>
      <c r="BI28" s="304"/>
    </row>
    <row r="29" spans="1:65" s="134" customFormat="1" x14ac:dyDescent="0.25">
      <c r="A29" s="48" t="s">
        <v>417</v>
      </c>
      <c r="B29" s="264"/>
      <c r="C29" s="126"/>
      <c r="D29" s="373">
        <f>D17</f>
        <v>-25</v>
      </c>
      <c r="E29" s="373">
        <f t="shared" ref="E29:AS29" si="38">E17</f>
        <v>-28</v>
      </c>
      <c r="F29" s="373">
        <f t="shared" si="38"/>
        <v>-22</v>
      </c>
      <c r="G29" s="373">
        <f t="shared" si="38"/>
        <v>-10</v>
      </c>
      <c r="H29" s="373">
        <f t="shared" si="38"/>
        <v>-14</v>
      </c>
      <c r="I29" s="373">
        <f t="shared" si="38"/>
        <v>-34</v>
      </c>
      <c r="J29" s="373">
        <f t="shared" si="38"/>
        <v>-47</v>
      </c>
      <c r="K29" s="373">
        <f t="shared" si="38"/>
        <v>-14</v>
      </c>
      <c r="L29" s="373">
        <f t="shared" si="38"/>
        <v>-18</v>
      </c>
      <c r="M29" s="373">
        <f t="shared" si="38"/>
        <v>-21</v>
      </c>
      <c r="N29" s="373">
        <f t="shared" si="38"/>
        <v>-25</v>
      </c>
      <c r="O29" s="373">
        <f t="shared" si="38"/>
        <v>0</v>
      </c>
      <c r="P29" s="373">
        <f t="shared" si="38"/>
        <v>-19</v>
      </c>
      <c r="Q29" s="373">
        <f t="shared" si="38"/>
        <v>-14</v>
      </c>
      <c r="R29" s="373">
        <f t="shared" si="38"/>
        <v>-21</v>
      </c>
      <c r="S29" s="373">
        <f t="shared" si="38"/>
        <v>-16</v>
      </c>
      <c r="T29" s="373">
        <f t="shared" si="38"/>
        <v>-10</v>
      </c>
      <c r="U29" s="373">
        <f t="shared" si="38"/>
        <v>-7</v>
      </c>
      <c r="V29" s="373">
        <f t="shared" si="38"/>
        <v>-6</v>
      </c>
      <c r="W29" s="373">
        <f t="shared" si="38"/>
        <v>-3</v>
      </c>
      <c r="X29" s="373">
        <f t="shared" si="38"/>
        <v>-3.1910000000004857</v>
      </c>
      <c r="Y29" s="373">
        <f t="shared" si="38"/>
        <v>-17.377000000000749</v>
      </c>
      <c r="Z29" s="373">
        <f t="shared" si="38"/>
        <v>-27.637999999999863</v>
      </c>
      <c r="AA29" s="373">
        <f t="shared" si="38"/>
        <v>-14.04899999999941</v>
      </c>
      <c r="AB29" s="373">
        <f t="shared" si="38"/>
        <v>-6.9679999999998472</v>
      </c>
      <c r="AC29" s="373">
        <f t="shared" si="38"/>
        <v>-6.0000000000003411</v>
      </c>
      <c r="AD29" s="373">
        <f t="shared" si="38"/>
        <v>-2.0129999999995789</v>
      </c>
      <c r="AE29" s="373">
        <f t="shared" si="38"/>
        <v>-2.648000000000593</v>
      </c>
      <c r="AF29" s="373">
        <f t="shared" si="38"/>
        <v>-2.620000000000573</v>
      </c>
      <c r="AG29" s="373">
        <f t="shared" si="38"/>
        <v>-1.6389999999995553</v>
      </c>
      <c r="AH29" s="373">
        <f t="shared" si="38"/>
        <v>-1.9250000000001819</v>
      </c>
      <c r="AI29" s="373">
        <f t="shared" si="38"/>
        <v>-2.9469999999996617</v>
      </c>
      <c r="AJ29" s="373">
        <f t="shared" si="38"/>
        <v>-2.3869999999999436</v>
      </c>
      <c r="AK29" s="373">
        <f t="shared" si="38"/>
        <v>-1.4830000000001178</v>
      </c>
      <c r="AL29" s="373">
        <f t="shared" si="38"/>
        <v>-0.66500000000030468</v>
      </c>
      <c r="AM29" s="373">
        <f t="shared" si="38"/>
        <v>-7.7489999999999668</v>
      </c>
      <c r="AN29" s="373">
        <f t="shared" si="38"/>
        <v>-3.1460000000005834</v>
      </c>
      <c r="AO29" s="373">
        <f t="shared" si="38"/>
        <v>-8.4039999999994173</v>
      </c>
      <c r="AP29" s="373">
        <f t="shared" si="38"/>
        <v>-10.849</v>
      </c>
      <c r="AQ29" s="373">
        <f t="shared" si="38"/>
        <v>-8.6110000000000007</v>
      </c>
      <c r="AR29" s="373">
        <f t="shared" si="38"/>
        <v>-3.149</v>
      </c>
      <c r="AS29" s="373">
        <f t="shared" si="38"/>
        <v>-5.3370000000000006</v>
      </c>
      <c r="AT29" s="373">
        <f t="shared" ref="AT29:AU29" si="39">AT17</f>
        <v>-3.7839999999999989</v>
      </c>
      <c r="AU29" s="373">
        <f t="shared" si="39"/>
        <v>-2.2409999999999997</v>
      </c>
      <c r="AY29" s="304"/>
      <c r="AZ29" s="393"/>
      <c r="BA29" s="44"/>
      <c r="BB29" s="304"/>
      <c r="BC29" s="412"/>
      <c r="BD29" s="304"/>
      <c r="BE29" s="304"/>
      <c r="BF29" s="304"/>
      <c r="BG29" s="304"/>
      <c r="BH29" s="304"/>
      <c r="BI29" s="304"/>
    </row>
    <row r="30" spans="1:65" s="165" customFormat="1" x14ac:dyDescent="0.25">
      <c r="A30" s="57" t="s">
        <v>420</v>
      </c>
      <c r="B30" s="402"/>
      <c r="C30" s="403"/>
      <c r="D30" s="371">
        <f>SUM(D28:D29)</f>
        <v>4947</v>
      </c>
      <c r="E30" s="371">
        <f t="shared" ref="E30:AS30" si="40">SUM(E28:E29)</f>
        <v>5238</v>
      </c>
      <c r="F30" s="371">
        <f t="shared" si="40"/>
        <v>5564</v>
      </c>
      <c r="G30" s="371">
        <f t="shared" si="40"/>
        <v>5594</v>
      </c>
      <c r="H30" s="371">
        <f t="shared" si="40"/>
        <v>4676</v>
      </c>
      <c r="I30" s="371">
        <f t="shared" si="40"/>
        <v>5219</v>
      </c>
      <c r="J30" s="371">
        <f t="shared" si="40"/>
        <v>5182</v>
      </c>
      <c r="K30" s="371">
        <f t="shared" si="40"/>
        <v>5179</v>
      </c>
      <c r="L30" s="371">
        <f t="shared" si="40"/>
        <v>4774</v>
      </c>
      <c r="M30" s="371">
        <f t="shared" si="40"/>
        <v>4928</v>
      </c>
      <c r="N30" s="371">
        <f t="shared" si="40"/>
        <v>5173</v>
      </c>
      <c r="O30" s="371">
        <f t="shared" si="40"/>
        <v>5375</v>
      </c>
      <c r="P30" s="371">
        <f t="shared" si="40"/>
        <v>5084</v>
      </c>
      <c r="Q30" s="371">
        <f t="shared" si="40"/>
        <v>4738</v>
      </c>
      <c r="R30" s="371">
        <f t="shared" si="40"/>
        <v>4738</v>
      </c>
      <c r="S30" s="371">
        <f t="shared" si="40"/>
        <v>4822</v>
      </c>
      <c r="T30" s="371">
        <f t="shared" si="40"/>
        <v>4826</v>
      </c>
      <c r="U30" s="371">
        <f t="shared" si="40"/>
        <v>5247</v>
      </c>
      <c r="V30" s="371">
        <f t="shared" si="40"/>
        <v>5561</v>
      </c>
      <c r="W30" s="371">
        <f t="shared" si="40"/>
        <v>5580</v>
      </c>
      <c r="X30" s="371">
        <f t="shared" si="40"/>
        <v>5190.4549999999999</v>
      </c>
      <c r="Y30" s="371">
        <f t="shared" si="40"/>
        <v>5217.3459999999995</v>
      </c>
      <c r="Z30" s="371">
        <f t="shared" si="40"/>
        <v>5489.4359999999997</v>
      </c>
      <c r="AA30" s="371">
        <f t="shared" si="40"/>
        <v>5723.9480000000003</v>
      </c>
      <c r="AB30" s="371">
        <f t="shared" si="40"/>
        <v>5682.8230000000003</v>
      </c>
      <c r="AC30" s="371">
        <f t="shared" si="40"/>
        <v>6003.848</v>
      </c>
      <c r="AD30" s="371">
        <f t="shared" si="40"/>
        <v>6179.773000000001</v>
      </c>
      <c r="AE30" s="371">
        <f t="shared" si="40"/>
        <v>6153.5699999999979</v>
      </c>
      <c r="AF30" s="371">
        <f t="shared" si="40"/>
        <v>6246.5590000000002</v>
      </c>
      <c r="AG30" s="371">
        <f t="shared" si="40"/>
        <v>6411.1379999999999</v>
      </c>
      <c r="AH30" s="371">
        <f t="shared" si="40"/>
        <v>6391.9939999999997</v>
      </c>
      <c r="AI30" s="371">
        <f t="shared" si="40"/>
        <v>6186.1180000000004</v>
      </c>
      <c r="AJ30" s="371">
        <f t="shared" si="40"/>
        <v>6092.6880000000001</v>
      </c>
      <c r="AK30" s="371">
        <f t="shared" si="40"/>
        <v>6431.4440000000004</v>
      </c>
      <c r="AL30" s="371">
        <f t="shared" si="40"/>
        <v>6595.8620000000001</v>
      </c>
      <c r="AM30" s="371">
        <f t="shared" si="40"/>
        <v>6681.6620000000003</v>
      </c>
      <c r="AN30" s="371">
        <f t="shared" si="40"/>
        <v>6478.7960000000003</v>
      </c>
      <c r="AO30" s="371">
        <f t="shared" si="40"/>
        <v>6907.3310000000001</v>
      </c>
      <c r="AP30" s="371">
        <f t="shared" si="40"/>
        <v>7095.5999999999995</v>
      </c>
      <c r="AQ30" s="371">
        <f t="shared" si="40"/>
        <v>7083.5839999999998</v>
      </c>
      <c r="AR30" s="371">
        <f t="shared" si="40"/>
        <v>7164.424</v>
      </c>
      <c r="AS30" s="371">
        <f t="shared" si="40"/>
        <v>7771.0259999999998</v>
      </c>
      <c r="AT30" s="371">
        <f t="shared" ref="AT30:AU30" si="41">SUM(AT28:AT29)</f>
        <v>7553.0720000000019</v>
      </c>
      <c r="AU30" s="371">
        <f t="shared" si="41"/>
        <v>7903.1859999999961</v>
      </c>
      <c r="AY30" s="314"/>
      <c r="AZ30" s="401"/>
      <c r="BA30" s="35"/>
      <c r="BB30" s="314"/>
      <c r="BC30" s="413"/>
      <c r="BD30" s="314"/>
      <c r="BE30" s="314"/>
      <c r="BF30" s="314"/>
      <c r="BG30" s="314"/>
      <c r="BH30" s="314"/>
      <c r="BI30" s="314"/>
    </row>
    <row r="31" spans="1:65" s="134" customFormat="1" x14ac:dyDescent="0.25">
      <c r="A31" s="48" t="s">
        <v>408</v>
      </c>
      <c r="B31" s="264"/>
      <c r="C31" s="126"/>
      <c r="D31" s="373">
        <f>D10</f>
        <v>0</v>
      </c>
      <c r="E31" s="373">
        <f t="shared" ref="E31:AS31" si="42">E10</f>
        <v>0</v>
      </c>
      <c r="F31" s="373">
        <f t="shared" si="42"/>
        <v>0</v>
      </c>
      <c r="G31" s="373">
        <f t="shared" si="42"/>
        <v>0</v>
      </c>
      <c r="H31" s="373">
        <f t="shared" si="42"/>
        <v>0</v>
      </c>
      <c r="I31" s="373">
        <f t="shared" si="42"/>
        <v>0</v>
      </c>
      <c r="J31" s="373">
        <f t="shared" si="42"/>
        <v>0</v>
      </c>
      <c r="K31" s="373">
        <f t="shared" si="42"/>
        <v>0</v>
      </c>
      <c r="L31" s="373">
        <f t="shared" si="42"/>
        <v>0</v>
      </c>
      <c r="M31" s="373">
        <f t="shared" si="42"/>
        <v>0</v>
      </c>
      <c r="N31" s="373">
        <f t="shared" si="42"/>
        <v>0</v>
      </c>
      <c r="O31" s="373">
        <f t="shared" si="42"/>
        <v>0</v>
      </c>
      <c r="P31" s="373">
        <f t="shared" si="42"/>
        <v>0</v>
      </c>
      <c r="Q31" s="373">
        <f t="shared" si="42"/>
        <v>0</v>
      </c>
      <c r="R31" s="373">
        <f t="shared" si="42"/>
        <v>0</v>
      </c>
      <c r="S31" s="373">
        <f t="shared" si="42"/>
        <v>0</v>
      </c>
      <c r="T31" s="373">
        <f t="shared" si="42"/>
        <v>0</v>
      </c>
      <c r="U31" s="373">
        <f t="shared" si="42"/>
        <v>0</v>
      </c>
      <c r="V31" s="373">
        <f t="shared" si="42"/>
        <v>0</v>
      </c>
      <c r="W31" s="373">
        <f t="shared" si="42"/>
        <v>26</v>
      </c>
      <c r="X31" s="373">
        <f t="shared" si="42"/>
        <v>0</v>
      </c>
      <c r="Y31" s="373">
        <f t="shared" si="42"/>
        <v>0</v>
      </c>
      <c r="Z31" s="373">
        <f t="shared" si="42"/>
        <v>0</v>
      </c>
      <c r="AA31" s="373">
        <f t="shared" si="42"/>
        <v>0</v>
      </c>
      <c r="AB31" s="373">
        <f t="shared" si="42"/>
        <v>0</v>
      </c>
      <c r="AC31" s="373">
        <f t="shared" si="42"/>
        <v>0</v>
      </c>
      <c r="AD31" s="373">
        <f t="shared" si="42"/>
        <v>0</v>
      </c>
      <c r="AE31" s="373">
        <f t="shared" si="42"/>
        <v>0.22400000000197906</v>
      </c>
      <c r="AF31" s="373">
        <f t="shared" si="42"/>
        <v>0</v>
      </c>
      <c r="AG31" s="373">
        <f t="shared" si="42"/>
        <v>-4.2590000000000146</v>
      </c>
      <c r="AH31" s="373">
        <f t="shared" si="42"/>
        <v>4.2590000000000146</v>
      </c>
      <c r="AI31" s="373">
        <f t="shared" si="42"/>
        <v>0</v>
      </c>
      <c r="AJ31" s="373">
        <f t="shared" si="42"/>
        <v>0</v>
      </c>
      <c r="AK31" s="373">
        <f t="shared" si="42"/>
        <v>0</v>
      </c>
      <c r="AL31" s="373">
        <f t="shared" si="42"/>
        <v>0</v>
      </c>
      <c r="AM31" s="373">
        <f t="shared" si="42"/>
        <v>0</v>
      </c>
      <c r="AN31" s="373">
        <f t="shared" si="42"/>
        <v>0</v>
      </c>
      <c r="AO31" s="373">
        <f t="shared" si="42"/>
        <v>24.359999999998763</v>
      </c>
      <c r="AP31" s="373">
        <f t="shared" si="42"/>
        <v>82.87800000000334</v>
      </c>
      <c r="AQ31" s="373">
        <f t="shared" si="42"/>
        <v>104.49799999999868</v>
      </c>
      <c r="AR31" s="373">
        <f t="shared" si="42"/>
        <v>127.79599999999937</v>
      </c>
      <c r="AS31" s="373">
        <f t="shared" si="42"/>
        <v>109.07900000000154</v>
      </c>
      <c r="AT31" s="373">
        <f t="shared" ref="AT31:AU31" si="43">AT10</f>
        <v>121.47399999999743</v>
      </c>
      <c r="AU31" s="373">
        <f t="shared" si="43"/>
        <v>142.66100000000552</v>
      </c>
      <c r="AY31" s="304"/>
      <c r="AZ31" s="393"/>
      <c r="BA31" s="44"/>
      <c r="BB31" s="304"/>
      <c r="BC31" s="412"/>
      <c r="BD31" s="304"/>
      <c r="BE31" s="304"/>
      <c r="BF31" s="304"/>
      <c r="BG31" s="304"/>
      <c r="BH31" s="304"/>
      <c r="BI31" s="304"/>
    </row>
    <row r="32" spans="1:65" s="134" customFormat="1" x14ac:dyDescent="0.25">
      <c r="A32" s="57" t="s">
        <v>421</v>
      </c>
      <c r="B32" s="398"/>
      <c r="C32" s="399"/>
      <c r="D32" s="400">
        <f>D30+D31</f>
        <v>4947</v>
      </c>
      <c r="E32" s="400">
        <f t="shared" ref="E32:AS32" si="44">E30+E31</f>
        <v>5238</v>
      </c>
      <c r="F32" s="400">
        <f t="shared" si="44"/>
        <v>5564</v>
      </c>
      <c r="G32" s="400">
        <f t="shared" si="44"/>
        <v>5594</v>
      </c>
      <c r="H32" s="400">
        <f t="shared" si="44"/>
        <v>4676</v>
      </c>
      <c r="I32" s="400">
        <f t="shared" si="44"/>
        <v>5219</v>
      </c>
      <c r="J32" s="400">
        <f t="shared" si="44"/>
        <v>5182</v>
      </c>
      <c r="K32" s="400">
        <f t="shared" si="44"/>
        <v>5179</v>
      </c>
      <c r="L32" s="400">
        <f t="shared" si="44"/>
        <v>4774</v>
      </c>
      <c r="M32" s="400">
        <f t="shared" si="44"/>
        <v>4928</v>
      </c>
      <c r="N32" s="400">
        <f t="shared" si="44"/>
        <v>5173</v>
      </c>
      <c r="O32" s="400">
        <f t="shared" si="44"/>
        <v>5375</v>
      </c>
      <c r="P32" s="400">
        <f t="shared" si="44"/>
        <v>5084</v>
      </c>
      <c r="Q32" s="400">
        <f t="shared" si="44"/>
        <v>4738</v>
      </c>
      <c r="R32" s="400">
        <f t="shared" si="44"/>
        <v>4738</v>
      </c>
      <c r="S32" s="400">
        <f t="shared" si="44"/>
        <v>4822</v>
      </c>
      <c r="T32" s="400">
        <f t="shared" si="44"/>
        <v>4826</v>
      </c>
      <c r="U32" s="400">
        <f t="shared" si="44"/>
        <v>5247</v>
      </c>
      <c r="V32" s="400">
        <f t="shared" si="44"/>
        <v>5561</v>
      </c>
      <c r="W32" s="400">
        <f t="shared" si="44"/>
        <v>5606</v>
      </c>
      <c r="X32" s="400">
        <f t="shared" si="44"/>
        <v>5190.4549999999999</v>
      </c>
      <c r="Y32" s="400">
        <f t="shared" si="44"/>
        <v>5217.3459999999995</v>
      </c>
      <c r="Z32" s="400">
        <f t="shared" si="44"/>
        <v>5489.4359999999997</v>
      </c>
      <c r="AA32" s="400">
        <f t="shared" si="44"/>
        <v>5723.9480000000003</v>
      </c>
      <c r="AB32" s="400">
        <f t="shared" si="44"/>
        <v>5682.8230000000003</v>
      </c>
      <c r="AC32" s="400">
        <f t="shared" si="44"/>
        <v>6003.848</v>
      </c>
      <c r="AD32" s="400">
        <f t="shared" si="44"/>
        <v>6179.773000000001</v>
      </c>
      <c r="AE32" s="400">
        <f t="shared" si="44"/>
        <v>6153.7939999999999</v>
      </c>
      <c r="AF32" s="400">
        <f t="shared" si="44"/>
        <v>6246.5590000000002</v>
      </c>
      <c r="AG32" s="400">
        <f t="shared" si="44"/>
        <v>6406.8789999999999</v>
      </c>
      <c r="AH32" s="400">
        <f t="shared" si="44"/>
        <v>6396.2529999999997</v>
      </c>
      <c r="AI32" s="400">
        <f t="shared" si="44"/>
        <v>6186.1180000000004</v>
      </c>
      <c r="AJ32" s="400">
        <f t="shared" si="44"/>
        <v>6092.6880000000001</v>
      </c>
      <c r="AK32" s="400">
        <f t="shared" si="44"/>
        <v>6431.4440000000004</v>
      </c>
      <c r="AL32" s="400">
        <f t="shared" si="44"/>
        <v>6595.8620000000001</v>
      </c>
      <c r="AM32" s="400">
        <f t="shared" si="44"/>
        <v>6681.6620000000003</v>
      </c>
      <c r="AN32" s="400">
        <f t="shared" si="44"/>
        <v>6478.7960000000003</v>
      </c>
      <c r="AO32" s="400">
        <f t="shared" si="44"/>
        <v>6931.6909999999989</v>
      </c>
      <c r="AP32" s="400">
        <f t="shared" si="44"/>
        <v>7178.4780000000028</v>
      </c>
      <c r="AQ32" s="400">
        <f t="shared" si="44"/>
        <v>7188.0819999999985</v>
      </c>
      <c r="AR32" s="400">
        <f t="shared" si="44"/>
        <v>7292.2199999999993</v>
      </c>
      <c r="AS32" s="400">
        <f t="shared" si="44"/>
        <v>7880.1050000000014</v>
      </c>
      <c r="AT32" s="400">
        <f t="shared" ref="AT32:AU32" si="45">AT30+AT31</f>
        <v>7674.5459999999994</v>
      </c>
      <c r="AU32" s="400">
        <f t="shared" si="45"/>
        <v>8045.8470000000016</v>
      </c>
      <c r="AY32" s="304"/>
      <c r="AZ32" s="393"/>
      <c r="BA32" s="44"/>
      <c r="BB32" s="304"/>
      <c r="BC32" s="412"/>
      <c r="BD32" s="304"/>
      <c r="BE32" s="304"/>
      <c r="BF32" s="304"/>
      <c r="BG32" s="304"/>
      <c r="BH32" s="304"/>
      <c r="BI32" s="304"/>
    </row>
    <row r="33" spans="1:61" s="134" customFormat="1" x14ac:dyDescent="0.25">
      <c r="A33" s="48"/>
      <c r="B33" s="264"/>
      <c r="C33" s="126"/>
      <c r="D33" s="242"/>
      <c r="E33" s="77"/>
      <c r="F33" s="242"/>
      <c r="G33" s="242"/>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77"/>
      <c r="AO33" s="77"/>
      <c r="AP33" s="77"/>
      <c r="AQ33" s="77"/>
      <c r="AR33" s="77"/>
      <c r="AS33" s="77"/>
      <c r="AT33" s="77"/>
      <c r="AU33" s="77"/>
      <c r="AY33" s="304"/>
      <c r="AZ33" s="393"/>
      <c r="BA33" s="44"/>
      <c r="BB33" s="304"/>
      <c r="BC33" s="412"/>
      <c r="BD33" s="304"/>
      <c r="BE33" s="304"/>
      <c r="BF33" s="304"/>
      <c r="BG33" s="304"/>
      <c r="BH33" s="304"/>
      <c r="BI33" s="304"/>
    </row>
    <row r="34" spans="1:61" x14ac:dyDescent="0.25">
      <c r="A34" s="45" t="s">
        <v>418</v>
      </c>
      <c r="B34" s="45"/>
      <c r="C34" s="46"/>
      <c r="D34" s="68"/>
      <c r="E34" s="68"/>
      <c r="F34" s="68"/>
      <c r="G34" s="68"/>
      <c r="H34" s="68"/>
      <c r="I34" s="68"/>
      <c r="J34" s="68"/>
      <c r="K34" s="68"/>
      <c r="L34" s="68"/>
      <c r="M34" s="68"/>
      <c r="N34" s="68"/>
      <c r="O34" s="68"/>
      <c r="P34" s="68"/>
      <c r="Q34" s="68"/>
      <c r="R34" s="68"/>
      <c r="S34" s="68"/>
      <c r="T34" s="68"/>
      <c r="U34" s="68"/>
      <c r="V34" s="68"/>
      <c r="W34" s="68"/>
      <c r="X34" s="237"/>
      <c r="Y34" s="237"/>
      <c r="Z34" s="237"/>
      <c r="AA34" s="237"/>
      <c r="AB34" s="237"/>
      <c r="AC34" s="237"/>
      <c r="AD34" s="237"/>
      <c r="AE34" s="237"/>
      <c r="AF34" s="237"/>
      <c r="AG34" s="237"/>
      <c r="AH34" s="237"/>
      <c r="AI34" s="237"/>
      <c r="AJ34" s="237"/>
      <c r="AK34" s="237"/>
      <c r="AL34" s="237"/>
      <c r="AM34" s="239"/>
      <c r="AN34" s="239"/>
      <c r="AO34" s="77">
        <f t="shared" ref="AO34:AU34" si="46">AO21/AK21-1</f>
        <v>7.998699398471798E-2</v>
      </c>
      <c r="AP34" s="77">
        <f t="shared" si="46"/>
        <v>8.8394276629570667E-2</v>
      </c>
      <c r="AQ34" s="77">
        <f t="shared" si="46"/>
        <v>6.5627435697583891E-2</v>
      </c>
      <c r="AR34" s="77">
        <f t="shared" si="46"/>
        <v>0.11021850899742924</v>
      </c>
      <c r="AS34" s="77">
        <f t="shared" si="46"/>
        <v>0.12915851272015666</v>
      </c>
      <c r="AT34" s="77">
        <f t="shared" si="46"/>
        <v>6.7922874671340949E-2</v>
      </c>
      <c r="AU34" s="77">
        <f t="shared" si="46"/>
        <v>0.1234640140433001</v>
      </c>
      <c r="BA34" s="44"/>
      <c r="BB34" s="302"/>
      <c r="BC34" s="411"/>
    </row>
    <row r="35" spans="1:61" ht="14.4" x14ac:dyDescent="0.3">
      <c r="A35" s="48" t="s">
        <v>360</v>
      </c>
      <c r="B35" s="48"/>
      <c r="C35" s="49"/>
      <c r="D35" s="240">
        <v>942</v>
      </c>
      <c r="E35" s="240">
        <v>973</v>
      </c>
      <c r="F35" s="240">
        <v>948</v>
      </c>
      <c r="G35" s="240">
        <v>863</v>
      </c>
      <c r="H35" s="240">
        <v>840</v>
      </c>
      <c r="I35" s="240">
        <v>881</v>
      </c>
      <c r="J35" s="240">
        <v>848</v>
      </c>
      <c r="K35" s="240">
        <v>787</v>
      </c>
      <c r="L35" s="240">
        <v>716</v>
      </c>
      <c r="M35" s="240">
        <v>514</v>
      </c>
      <c r="N35" s="240">
        <v>534</v>
      </c>
      <c r="O35" s="240">
        <v>557</v>
      </c>
      <c r="P35" s="240">
        <v>404</v>
      </c>
      <c r="Q35" s="240">
        <v>418</v>
      </c>
      <c r="R35" s="240">
        <v>526</v>
      </c>
      <c r="S35" s="240">
        <v>579</v>
      </c>
      <c r="T35" s="240">
        <v>659</v>
      </c>
      <c r="U35" s="76">
        <f>1289-T35</f>
        <v>630</v>
      </c>
      <c r="V35" s="76">
        <f>1913-U35-T35</f>
        <v>624</v>
      </c>
      <c r="W35" s="76">
        <f>2459-V35-U35-T35</f>
        <v>546</v>
      </c>
      <c r="X35" s="240">
        <v>486</v>
      </c>
      <c r="Y35" s="76">
        <f>1098-X35</f>
        <v>612</v>
      </c>
      <c r="Z35" s="76">
        <f>1792-Y35-X35</f>
        <v>694</v>
      </c>
      <c r="AA35" s="76">
        <f>2421-Z35-Y35-X35</f>
        <v>629</v>
      </c>
      <c r="AB35" s="240">
        <v>446</v>
      </c>
      <c r="AC35" s="240">
        <v>516</v>
      </c>
      <c r="AD35" s="76">
        <f>1457-AB35-AC35</f>
        <v>495</v>
      </c>
      <c r="AE35" s="240">
        <v>458</v>
      </c>
      <c r="AF35" s="241">
        <v>430.14100000000002</v>
      </c>
      <c r="AG35" s="241">
        <v>386.49799999999999</v>
      </c>
      <c r="AH35" s="84">
        <f>1199.841-AF35-AG35</f>
        <v>383.20199999999983</v>
      </c>
      <c r="AI35" s="84">
        <f>1560.744-AF35-AG35-AH35</f>
        <v>360.90299999999996</v>
      </c>
      <c r="AJ35" s="241">
        <v>341.21100000000001</v>
      </c>
      <c r="AK35" s="84">
        <f>690.383-AJ35</f>
        <v>349.17200000000003</v>
      </c>
      <c r="AL35" s="84">
        <f>1031.592-AJ35-AK35</f>
        <v>341.20900000000006</v>
      </c>
      <c r="AM35" s="84">
        <f>1536.159-AJ35-AK35-AL35</f>
        <v>504.56700000000001</v>
      </c>
      <c r="AN35" s="241">
        <v>466.17</v>
      </c>
      <c r="AO35" s="84">
        <f>1147.498-AN35</f>
        <v>681.32799999999997</v>
      </c>
      <c r="AP35" s="84">
        <f>2017.658-AN35-AO35</f>
        <v>870.15999999999985</v>
      </c>
      <c r="AQ35" s="84">
        <f>2876.477-AP35-AO35-AN35</f>
        <v>858.81899999999996</v>
      </c>
      <c r="AR35" s="241">
        <v>648.85599999999999</v>
      </c>
      <c r="AS35" s="241">
        <f>1536.536-AR35</f>
        <v>887.68000000000006</v>
      </c>
      <c r="AT35" s="241">
        <f>2320.172-AS35-AR35</f>
        <v>783.63599999999997</v>
      </c>
      <c r="AU35" s="84">
        <f>3172.22-AT35-AS35-AR35</f>
        <v>852.04799999999977</v>
      </c>
      <c r="AW35" s="51"/>
      <c r="AX35" s="43" t="s">
        <v>147</v>
      </c>
      <c r="BA35" s="44"/>
      <c r="BC35" s="410">
        <f>SUM(AN35:AQ35)</f>
        <v>2876.4769999999999</v>
      </c>
      <c r="BD35" s="303">
        <f>SUM(AR35:AU35)</f>
        <v>3172.22</v>
      </c>
      <c r="BE35" s="404">
        <f>BD35/BC35-1</f>
        <v>0.1028143107002073</v>
      </c>
    </row>
    <row r="36" spans="1:61" ht="14.4" x14ac:dyDescent="0.3">
      <c r="A36" s="48" t="s">
        <v>76</v>
      </c>
      <c r="B36" s="48"/>
      <c r="C36" s="49"/>
      <c r="D36" s="240">
        <v>235</v>
      </c>
      <c r="E36" s="240">
        <v>238</v>
      </c>
      <c r="F36" s="240">
        <v>234</v>
      </c>
      <c r="G36" s="240">
        <v>230</v>
      </c>
      <c r="H36" s="240">
        <v>270</v>
      </c>
      <c r="I36" s="240">
        <v>308</v>
      </c>
      <c r="J36" s="240">
        <v>305</v>
      </c>
      <c r="K36" s="240">
        <v>277</v>
      </c>
      <c r="L36" s="240">
        <v>255</v>
      </c>
      <c r="M36" s="240">
        <v>273</v>
      </c>
      <c r="N36" s="240">
        <v>278</v>
      </c>
      <c r="O36" s="240">
        <v>283</v>
      </c>
      <c r="P36" s="240">
        <v>327</v>
      </c>
      <c r="Q36" s="240">
        <v>280</v>
      </c>
      <c r="R36" s="240">
        <v>260</v>
      </c>
      <c r="S36" s="240">
        <v>290</v>
      </c>
      <c r="T36" s="240">
        <v>257</v>
      </c>
      <c r="U36" s="76">
        <f>518-T36</f>
        <v>261</v>
      </c>
      <c r="V36" s="76">
        <f>799-U36-T36</f>
        <v>281</v>
      </c>
      <c r="W36" s="76">
        <f>1351-V36-U36-T36</f>
        <v>552</v>
      </c>
      <c r="X36" s="240">
        <v>263</v>
      </c>
      <c r="Y36" s="76">
        <f>527-X36</f>
        <v>264</v>
      </c>
      <c r="Z36" s="76">
        <f>761-Y36-X36</f>
        <v>234</v>
      </c>
      <c r="AA36" s="76">
        <f>1037-Z36-Y36-X36</f>
        <v>276</v>
      </c>
      <c r="AB36" s="240">
        <v>301</v>
      </c>
      <c r="AC36" s="240">
        <v>323</v>
      </c>
      <c r="AD36" s="76">
        <f>954-AB36-AC36</f>
        <v>330</v>
      </c>
      <c r="AE36" s="240">
        <v>325</v>
      </c>
      <c r="AF36" s="241">
        <v>307</v>
      </c>
      <c r="AG36" s="241">
        <v>304</v>
      </c>
      <c r="AH36" s="84">
        <f>952.232-AF36-AG36</f>
        <v>341.23199999999997</v>
      </c>
      <c r="AI36" s="84">
        <f>1274.264-AF36-AG36-AH36</f>
        <v>322.03199999999993</v>
      </c>
      <c r="AJ36" s="241">
        <v>235.27799999999999</v>
      </c>
      <c r="AK36" s="84">
        <f>573.889-AJ36</f>
        <v>338.61099999999999</v>
      </c>
      <c r="AL36" s="84">
        <f>803.943-AJ36-AK36</f>
        <v>230.05399999999997</v>
      </c>
      <c r="AM36" s="84">
        <f>1075.801-AJ36-AK36-AL36</f>
        <v>271.85799999999995</v>
      </c>
      <c r="AN36" s="241">
        <v>295.625</v>
      </c>
      <c r="AO36" s="84">
        <f>567.77-AN36</f>
        <v>272.14499999999998</v>
      </c>
      <c r="AP36" s="84">
        <f>892.882-AN36-AO36</f>
        <v>325.11199999999997</v>
      </c>
      <c r="AQ36" s="84">
        <f>1325.529-AP36-AO36-AN36</f>
        <v>432.64700000000005</v>
      </c>
      <c r="AR36" s="241">
        <v>331.03899999999999</v>
      </c>
      <c r="AS36" s="241">
        <f>699.419-AR36</f>
        <v>368.38</v>
      </c>
      <c r="AT36" s="241">
        <f>1059.278-AS36-AR36</f>
        <v>359.85900000000004</v>
      </c>
      <c r="AU36" s="84">
        <f>1402.242-AT36-AS36-AR36</f>
        <v>342.96399999999983</v>
      </c>
      <c r="AW36" s="51"/>
      <c r="AX36" s="43" t="s">
        <v>147</v>
      </c>
      <c r="BA36" s="44"/>
      <c r="BC36" s="410">
        <f t="shared" ref="BC36:BC39" si="47">SUM(AN36:AQ36)</f>
        <v>1325.529</v>
      </c>
      <c r="BD36" s="303">
        <f t="shared" ref="BD36:BD39" si="48">SUM(AR36:AU36)</f>
        <v>1402.2419999999997</v>
      </c>
      <c r="BE36" s="404">
        <f t="shared" ref="BE36:BE39" si="49">BD36/BC36-1</f>
        <v>5.7873498052475547E-2</v>
      </c>
    </row>
    <row r="37" spans="1:61" ht="14.4" x14ac:dyDescent="0.3">
      <c r="A37" s="48" t="s">
        <v>77</v>
      </c>
      <c r="B37" s="48"/>
      <c r="C37" s="49"/>
      <c r="D37" s="240">
        <v>326</v>
      </c>
      <c r="E37" s="240">
        <v>341</v>
      </c>
      <c r="F37" s="240">
        <v>374</v>
      </c>
      <c r="G37" s="240">
        <v>314</v>
      </c>
      <c r="H37" s="240">
        <v>295</v>
      </c>
      <c r="I37" s="240">
        <v>340</v>
      </c>
      <c r="J37" s="240">
        <v>378</v>
      </c>
      <c r="K37" s="240">
        <v>411</v>
      </c>
      <c r="L37" s="240">
        <v>230</v>
      </c>
      <c r="M37" s="240">
        <v>255</v>
      </c>
      <c r="N37" s="240">
        <v>303</v>
      </c>
      <c r="O37" s="240">
        <v>339</v>
      </c>
      <c r="P37" s="240">
        <v>329</v>
      </c>
      <c r="Q37" s="240">
        <v>272</v>
      </c>
      <c r="R37" s="240">
        <v>385</v>
      </c>
      <c r="S37" s="240">
        <v>447</v>
      </c>
      <c r="T37" s="240">
        <v>274</v>
      </c>
      <c r="U37" s="76">
        <f>693-T37</f>
        <v>419</v>
      </c>
      <c r="V37" s="76">
        <f>1106-U37-T37</f>
        <v>413</v>
      </c>
      <c r="W37" s="76">
        <f>1616-V37-U37-T37</f>
        <v>510</v>
      </c>
      <c r="X37" s="240">
        <v>573</v>
      </c>
      <c r="Y37" s="76">
        <f>1147-X37</f>
        <v>574</v>
      </c>
      <c r="Z37" s="76">
        <f>1585-Y37-X37</f>
        <v>438</v>
      </c>
      <c r="AA37" s="76">
        <f>2039-Z37-Y37-X37</f>
        <v>454</v>
      </c>
      <c r="AB37" s="240">
        <v>457</v>
      </c>
      <c r="AC37" s="240">
        <v>490</v>
      </c>
      <c r="AD37" s="76">
        <f>1439-AB37-AC37</f>
        <v>492</v>
      </c>
      <c r="AE37" s="240">
        <v>531</v>
      </c>
      <c r="AF37" s="241">
        <v>453</v>
      </c>
      <c r="AG37" s="241">
        <v>435</v>
      </c>
      <c r="AH37" s="84">
        <f>1357.74-AF37-AG37</f>
        <v>469.74</v>
      </c>
      <c r="AI37" s="84">
        <f>1805.207-AF37-AG37-AH37</f>
        <v>447.4670000000001</v>
      </c>
      <c r="AJ37" s="241">
        <v>525.13900000000001</v>
      </c>
      <c r="AK37" s="84">
        <f>1165.167-AJ37</f>
        <v>640.02799999999991</v>
      </c>
      <c r="AL37" s="84">
        <f>1887.421-AJ37-AK37</f>
        <v>722.25400000000025</v>
      </c>
      <c r="AM37" s="84">
        <f>2566.963-AJ37-AK37-AL37</f>
        <v>679.54200000000003</v>
      </c>
      <c r="AN37" s="241">
        <v>728.63900000000001</v>
      </c>
      <c r="AO37" s="84">
        <f>1383.454-AN37</f>
        <v>654.81499999999994</v>
      </c>
      <c r="AP37" s="84">
        <f>1975.49-AN37-AO37</f>
        <v>592.03600000000017</v>
      </c>
      <c r="AQ37" s="84">
        <f>2617.998-AP37-AO37-AN37</f>
        <v>642.50799999999992</v>
      </c>
      <c r="AR37" s="241">
        <v>565.40700000000004</v>
      </c>
      <c r="AS37" s="241">
        <f>1178.661-AR37</f>
        <v>613.25400000000002</v>
      </c>
      <c r="AT37" s="241">
        <f>1804.566-AS37-AR37</f>
        <v>625.90499999999986</v>
      </c>
      <c r="AU37" s="84">
        <f>2454.775-AT37-AS37-AR37</f>
        <v>650.2090000000004</v>
      </c>
      <c r="AW37" s="51"/>
      <c r="AX37" s="43" t="s">
        <v>147</v>
      </c>
      <c r="BA37" s="44"/>
      <c r="BC37" s="410">
        <f t="shared" si="47"/>
        <v>2617.998</v>
      </c>
      <c r="BD37" s="303">
        <f t="shared" si="48"/>
        <v>2454.7750000000001</v>
      </c>
      <c r="BE37" s="404">
        <f t="shared" si="49"/>
        <v>-6.2346495299079652E-2</v>
      </c>
    </row>
    <row r="38" spans="1:61" ht="14.4" x14ac:dyDescent="0.3">
      <c r="A38" s="48" t="s">
        <v>361</v>
      </c>
      <c r="B38" s="48"/>
      <c r="C38" s="49"/>
      <c r="D38" s="240">
        <v>1366</v>
      </c>
      <c r="E38" s="240">
        <v>1441</v>
      </c>
      <c r="F38" s="240">
        <v>1571</v>
      </c>
      <c r="G38" s="240">
        <v>1649</v>
      </c>
      <c r="H38" s="240">
        <v>1796</v>
      </c>
      <c r="I38" s="240">
        <v>2219</v>
      </c>
      <c r="J38" s="240">
        <v>2265</v>
      </c>
      <c r="K38" s="240">
        <v>1949</v>
      </c>
      <c r="L38" s="240">
        <v>2246</v>
      </c>
      <c r="M38" s="240">
        <v>2367</v>
      </c>
      <c r="N38" s="240">
        <v>2362</v>
      </c>
      <c r="O38" s="240">
        <v>2311</v>
      </c>
      <c r="P38" s="240">
        <v>2217</v>
      </c>
      <c r="Q38" s="240">
        <v>2098</v>
      </c>
      <c r="R38" s="240">
        <v>1965</v>
      </c>
      <c r="S38" s="240">
        <v>1989</v>
      </c>
      <c r="T38" s="240">
        <v>2107</v>
      </c>
      <c r="U38" s="76">
        <f>4228-T38</f>
        <v>2121</v>
      </c>
      <c r="V38" s="76">
        <f>6449-U38-T38</f>
        <v>2221</v>
      </c>
      <c r="W38" s="76">
        <f>8576-V38-U38-T38</f>
        <v>2127</v>
      </c>
      <c r="X38" s="240">
        <v>2084</v>
      </c>
      <c r="Y38" s="76">
        <f>4068-X38</f>
        <v>1984</v>
      </c>
      <c r="Z38" s="76">
        <f>6262-Y38-X38</f>
        <v>2194</v>
      </c>
      <c r="AA38" s="76">
        <f>8452-Z38-Y38-X38</f>
        <v>2190</v>
      </c>
      <c r="AB38" s="240">
        <v>2316</v>
      </c>
      <c r="AC38" s="240">
        <v>2353</v>
      </c>
      <c r="AD38" s="76">
        <f>7095-AB38-AC38</f>
        <v>2426</v>
      </c>
      <c r="AE38" s="240">
        <v>2376</v>
      </c>
      <c r="AF38" s="241">
        <v>2031.807</v>
      </c>
      <c r="AG38" s="241">
        <v>2073.114</v>
      </c>
      <c r="AH38" s="84">
        <f>6008.144-AF38-AG38</f>
        <v>1903.2230000000004</v>
      </c>
      <c r="AI38" s="84">
        <f>7973.636-AF38-AG38-AH38</f>
        <v>1965.4920000000002</v>
      </c>
      <c r="AJ38" s="241">
        <v>1974.0309999999999</v>
      </c>
      <c r="AK38" s="84">
        <f>3926.898-AJ38</f>
        <v>1952.8670000000002</v>
      </c>
      <c r="AL38" s="84">
        <f>5950.375-AJ38-AK38</f>
        <v>2023.4769999999999</v>
      </c>
      <c r="AM38" s="84">
        <f>7989.54-AJ38-AK38-AL38</f>
        <v>2039.165</v>
      </c>
      <c r="AN38" s="241">
        <v>1991.962</v>
      </c>
      <c r="AO38" s="84">
        <f>4063.179-AN38</f>
        <v>2071.2170000000001</v>
      </c>
      <c r="AP38" s="84">
        <f>6074.333-AN38-AO38</f>
        <v>2011.1539999999995</v>
      </c>
      <c r="AQ38" s="84">
        <f>7733.947-AP38-AO38-AN38</f>
        <v>1659.6140000000005</v>
      </c>
      <c r="AR38" s="241">
        <v>2335.9679999999998</v>
      </c>
      <c r="AS38" s="241">
        <f>4476.696-AR38</f>
        <v>2140.7280000000001</v>
      </c>
      <c r="AT38" s="241">
        <f>6657.758-AS38-AR38</f>
        <v>2181.0619999999999</v>
      </c>
      <c r="AU38" s="84">
        <f>8995.646-AT38-AS38-AR38</f>
        <v>2337.8880000000008</v>
      </c>
      <c r="AW38" s="51"/>
      <c r="AX38" s="43" t="s">
        <v>147</v>
      </c>
      <c r="BA38" s="44"/>
      <c r="BC38" s="410">
        <f t="shared" si="47"/>
        <v>7733.9470000000001</v>
      </c>
      <c r="BD38" s="303">
        <f t="shared" si="48"/>
        <v>8995.6460000000006</v>
      </c>
      <c r="BE38" s="404">
        <f t="shared" si="49"/>
        <v>0.16313778721266137</v>
      </c>
    </row>
    <row r="39" spans="1:61" ht="14.4" x14ac:dyDescent="0.3">
      <c r="A39" s="128" t="s">
        <v>362</v>
      </c>
      <c r="B39" s="128"/>
      <c r="C39" s="76"/>
      <c r="D39" s="240">
        <v>127</v>
      </c>
      <c r="E39" s="240">
        <v>137</v>
      </c>
      <c r="F39" s="240">
        <v>137</v>
      </c>
      <c r="G39" s="240">
        <v>160</v>
      </c>
      <c r="H39" s="240">
        <v>112</v>
      </c>
      <c r="I39" s="240">
        <v>223</v>
      </c>
      <c r="J39" s="240">
        <v>138</v>
      </c>
      <c r="K39" s="240">
        <v>194</v>
      </c>
      <c r="L39" s="240">
        <v>156</v>
      </c>
      <c r="M39" s="240">
        <v>203</v>
      </c>
      <c r="N39" s="240">
        <v>158</v>
      </c>
      <c r="O39" s="240">
        <v>143</v>
      </c>
      <c r="P39" s="240">
        <v>147</v>
      </c>
      <c r="Q39" s="240">
        <v>105</v>
      </c>
      <c r="R39" s="240">
        <v>114</v>
      </c>
      <c r="S39" s="240">
        <v>132</v>
      </c>
      <c r="T39" s="240">
        <v>121</v>
      </c>
      <c r="U39" s="76">
        <f>284-T39</f>
        <v>163</v>
      </c>
      <c r="V39" s="76">
        <f>435-U39-T39</f>
        <v>151</v>
      </c>
      <c r="W39" s="76">
        <f>552-V39-U39-T39</f>
        <v>117</v>
      </c>
      <c r="X39" s="240">
        <v>110</v>
      </c>
      <c r="Y39" s="76">
        <f>220-X39</f>
        <v>110</v>
      </c>
      <c r="Z39" s="76">
        <f>330-Y39-X39</f>
        <v>110</v>
      </c>
      <c r="AA39" s="76">
        <f>476-Z39-Y39-X39</f>
        <v>146</v>
      </c>
      <c r="AB39" s="240">
        <v>169</v>
      </c>
      <c r="AC39" s="240">
        <v>136</v>
      </c>
      <c r="AD39" s="76">
        <f>417-AB39-AC39</f>
        <v>112</v>
      </c>
      <c r="AE39" s="240">
        <v>114</v>
      </c>
      <c r="AF39" s="241">
        <v>91.225999999999999</v>
      </c>
      <c r="AG39" s="241">
        <v>80.394999999999996</v>
      </c>
      <c r="AH39" s="84">
        <f>243.323-AF39-AG39</f>
        <v>71.702000000000012</v>
      </c>
      <c r="AI39" s="84">
        <f>335.218-AF39-AG39-AH39</f>
        <v>91.895000000000024</v>
      </c>
      <c r="AJ39" s="241">
        <v>52.914999999999999</v>
      </c>
      <c r="AK39" s="84">
        <f>130.26-AJ39</f>
        <v>77.344999999999999</v>
      </c>
      <c r="AL39" s="84">
        <f>221.326-AJ39-AK39</f>
        <v>91.066000000000003</v>
      </c>
      <c r="AM39" s="84">
        <f>298.802-AJ39-AK39-AL39</f>
        <v>77.476000000000028</v>
      </c>
      <c r="AN39" s="241">
        <v>85.759</v>
      </c>
      <c r="AO39" s="84">
        <f>178.552-AN39</f>
        <v>92.792999999999992</v>
      </c>
      <c r="AP39" s="84">
        <f>257.943-AN39-AO39</f>
        <v>79.390999999999977</v>
      </c>
      <c r="AQ39" s="84">
        <f>352.698-AP39-AO39-AN39</f>
        <v>94.75500000000001</v>
      </c>
      <c r="AR39" s="241">
        <v>82.908000000000001</v>
      </c>
      <c r="AS39" s="241">
        <f>221.266-AR39</f>
        <v>138.358</v>
      </c>
      <c r="AT39" s="241">
        <f>271.332-AS39-AR39</f>
        <v>50.065999999999988</v>
      </c>
      <c r="AU39" s="84">
        <f>413.04-AT39-AS39-AR39</f>
        <v>141.70800000000003</v>
      </c>
      <c r="AW39" s="51"/>
      <c r="AX39" s="43" t="s">
        <v>147</v>
      </c>
      <c r="BA39" s="44"/>
      <c r="BB39" s="305"/>
      <c r="BC39" s="410">
        <f t="shared" si="47"/>
        <v>352.69799999999998</v>
      </c>
      <c r="BD39" s="303">
        <f t="shared" si="48"/>
        <v>413.04</v>
      </c>
      <c r="BE39" s="404">
        <f t="shared" si="49"/>
        <v>0.17108687885953433</v>
      </c>
    </row>
    <row r="40" spans="1:61" s="36" customFormat="1" ht="18.75" customHeight="1" x14ac:dyDescent="0.25">
      <c r="A40" s="65" t="s">
        <v>56</v>
      </c>
      <c r="B40" s="65"/>
      <c r="C40" s="66"/>
      <c r="D40" s="66">
        <f t="shared" ref="D40:W40" si="50">SUM(D35:D39)</f>
        <v>2996</v>
      </c>
      <c r="E40" s="66">
        <f t="shared" si="50"/>
        <v>3130</v>
      </c>
      <c r="F40" s="66">
        <f t="shared" si="50"/>
        <v>3264</v>
      </c>
      <c r="G40" s="66">
        <f t="shared" si="50"/>
        <v>3216</v>
      </c>
      <c r="H40" s="66">
        <f t="shared" si="50"/>
        <v>3313</v>
      </c>
      <c r="I40" s="66">
        <f t="shared" si="50"/>
        <v>3971</v>
      </c>
      <c r="J40" s="66">
        <f t="shared" si="50"/>
        <v>3934</v>
      </c>
      <c r="K40" s="66">
        <f t="shared" si="50"/>
        <v>3618</v>
      </c>
      <c r="L40" s="66">
        <f t="shared" si="50"/>
        <v>3603</v>
      </c>
      <c r="M40" s="66">
        <f t="shared" si="50"/>
        <v>3612</v>
      </c>
      <c r="N40" s="66">
        <f t="shared" si="50"/>
        <v>3635</v>
      </c>
      <c r="O40" s="66">
        <f t="shared" si="50"/>
        <v>3633</v>
      </c>
      <c r="P40" s="66">
        <f t="shared" si="50"/>
        <v>3424</v>
      </c>
      <c r="Q40" s="66">
        <f t="shared" si="50"/>
        <v>3173</v>
      </c>
      <c r="R40" s="66">
        <f t="shared" si="50"/>
        <v>3250</v>
      </c>
      <c r="S40" s="66">
        <f t="shared" si="50"/>
        <v>3437</v>
      </c>
      <c r="T40" s="66">
        <f t="shared" si="50"/>
        <v>3418</v>
      </c>
      <c r="U40" s="66">
        <f t="shared" si="50"/>
        <v>3594</v>
      </c>
      <c r="V40" s="66">
        <f t="shared" si="50"/>
        <v>3690</v>
      </c>
      <c r="W40" s="66">
        <f t="shared" si="50"/>
        <v>3852</v>
      </c>
      <c r="X40" s="235">
        <v>3515</v>
      </c>
      <c r="Y40" s="66">
        <f>7060-X40</f>
        <v>3545</v>
      </c>
      <c r="Z40" s="66">
        <f>7060-Y40</f>
        <v>3515</v>
      </c>
      <c r="AA40" s="66">
        <f t="shared" ref="AA40:AQ40" si="51">SUM(AA35:AA39)</f>
        <v>3695</v>
      </c>
      <c r="AB40" s="66">
        <f t="shared" si="51"/>
        <v>3689</v>
      </c>
      <c r="AC40" s="66">
        <f t="shared" si="51"/>
        <v>3818</v>
      </c>
      <c r="AD40" s="66">
        <f t="shared" si="51"/>
        <v>3855</v>
      </c>
      <c r="AE40" s="66">
        <f t="shared" si="51"/>
        <v>3804</v>
      </c>
      <c r="AF40" s="66">
        <f t="shared" si="51"/>
        <v>3313.1740000000004</v>
      </c>
      <c r="AG40" s="66">
        <f t="shared" si="51"/>
        <v>3279.0070000000001</v>
      </c>
      <c r="AH40" s="66">
        <f t="shared" si="51"/>
        <v>3169.0990000000002</v>
      </c>
      <c r="AI40" s="66">
        <f t="shared" si="51"/>
        <v>3187.7890000000002</v>
      </c>
      <c r="AJ40" s="66">
        <f t="shared" si="51"/>
        <v>3128.5740000000001</v>
      </c>
      <c r="AK40" s="66">
        <f t="shared" si="51"/>
        <v>3358.0229999999997</v>
      </c>
      <c r="AL40" s="66">
        <f t="shared" si="51"/>
        <v>3408.06</v>
      </c>
      <c r="AM40" s="66">
        <f t="shared" si="51"/>
        <v>3572.6080000000002</v>
      </c>
      <c r="AN40" s="66">
        <f t="shared" si="51"/>
        <v>3568.1550000000002</v>
      </c>
      <c r="AO40" s="66">
        <f t="shared" si="51"/>
        <v>3772.2980000000002</v>
      </c>
      <c r="AP40" s="66">
        <f t="shared" si="51"/>
        <v>3877.8529999999996</v>
      </c>
      <c r="AQ40" s="66">
        <f t="shared" si="51"/>
        <v>3688.3430000000003</v>
      </c>
      <c r="AR40" s="66">
        <f t="shared" ref="AR40:AS40" si="52">SUM(AR35:AR39)</f>
        <v>3964.1779999999999</v>
      </c>
      <c r="AS40" s="66">
        <f t="shared" si="52"/>
        <v>4148.3999999999996</v>
      </c>
      <c r="AT40" s="66">
        <f t="shared" ref="AT40:AU40" si="53">SUM(AT35:AT39)</f>
        <v>4000.5279999999993</v>
      </c>
      <c r="AU40" s="66">
        <f t="shared" si="53"/>
        <v>4324.817</v>
      </c>
      <c r="AV40" s="43"/>
      <c r="AW40" s="67"/>
      <c r="AX40" s="64"/>
      <c r="AY40" s="305"/>
      <c r="AZ40" s="391"/>
      <c r="BA40" s="44"/>
      <c r="BB40" s="295"/>
      <c r="BC40" s="411"/>
      <c r="BD40" s="306"/>
      <c r="BE40" s="294"/>
      <c r="BF40" s="307"/>
      <c r="BG40" s="308"/>
      <c r="BH40" s="294"/>
      <c r="BI40" s="294"/>
    </row>
    <row r="41" spans="1:61" s="134" customFormat="1" ht="18.75" customHeight="1" x14ac:dyDescent="0.25">
      <c r="A41" s="263" t="s">
        <v>426</v>
      </c>
      <c r="B41" s="263"/>
      <c r="C41" s="77"/>
      <c r="D41" s="240">
        <f t="shared" ref="D41:AT41" si="54">ROUND(D25-D40-D42,0)</f>
        <v>737</v>
      </c>
      <c r="E41" s="240">
        <f t="shared" si="54"/>
        <v>786</v>
      </c>
      <c r="F41" s="240">
        <f t="shared" si="54"/>
        <v>869</v>
      </c>
      <c r="G41" s="240">
        <f t="shared" si="54"/>
        <v>927</v>
      </c>
      <c r="H41" s="240">
        <f t="shared" si="54"/>
        <v>-7</v>
      </c>
      <c r="I41" s="240">
        <f t="shared" si="54"/>
        <v>9</v>
      </c>
      <c r="J41" s="240">
        <f t="shared" si="54"/>
        <v>11</v>
      </c>
      <c r="K41" s="240">
        <f t="shared" si="54"/>
        <v>-12</v>
      </c>
      <c r="L41" s="240">
        <f t="shared" si="54"/>
        <v>1</v>
      </c>
      <c r="M41" s="240">
        <f t="shared" si="54"/>
        <v>-1</v>
      </c>
      <c r="N41" s="240">
        <f t="shared" si="54"/>
        <v>-1</v>
      </c>
      <c r="O41" s="240">
        <f t="shared" si="54"/>
        <v>20</v>
      </c>
      <c r="P41" s="240">
        <f t="shared" si="54"/>
        <v>0</v>
      </c>
      <c r="Q41" s="240">
        <f t="shared" si="54"/>
        <v>0</v>
      </c>
      <c r="R41" s="240">
        <f t="shared" si="54"/>
        <v>0</v>
      </c>
      <c r="S41" s="240">
        <f t="shared" si="54"/>
        <v>0</v>
      </c>
      <c r="T41" s="240">
        <f t="shared" si="54"/>
        <v>0</v>
      </c>
      <c r="U41" s="240">
        <f t="shared" si="54"/>
        <v>0</v>
      </c>
      <c r="V41" s="240">
        <f t="shared" si="54"/>
        <v>-1</v>
      </c>
      <c r="W41" s="240">
        <f t="shared" si="54"/>
        <v>27</v>
      </c>
      <c r="X41" s="240">
        <f t="shared" si="54"/>
        <v>0</v>
      </c>
      <c r="Y41" s="240">
        <f t="shared" si="54"/>
        <v>0</v>
      </c>
      <c r="Z41" s="240">
        <f t="shared" si="54"/>
        <v>155</v>
      </c>
      <c r="AA41" s="240">
        <f t="shared" si="54"/>
        <v>1</v>
      </c>
      <c r="AB41" s="240">
        <f t="shared" si="54"/>
        <v>-1</v>
      </c>
      <c r="AC41" s="240">
        <f t="shared" si="54"/>
        <v>1</v>
      </c>
      <c r="AD41" s="240">
        <f t="shared" si="54"/>
        <v>1</v>
      </c>
      <c r="AE41" s="240">
        <f t="shared" si="54"/>
        <v>0</v>
      </c>
      <c r="AF41" s="240">
        <f t="shared" si="54"/>
        <v>0</v>
      </c>
      <c r="AG41" s="240">
        <f t="shared" si="54"/>
        <v>0</v>
      </c>
      <c r="AH41" s="240">
        <f t="shared" si="54"/>
        <v>0</v>
      </c>
      <c r="AI41" s="240">
        <f t="shared" si="54"/>
        <v>0</v>
      </c>
      <c r="AJ41" s="240">
        <f t="shared" si="54"/>
        <v>0</v>
      </c>
      <c r="AK41" s="240">
        <f t="shared" si="54"/>
        <v>0</v>
      </c>
      <c r="AL41" s="240">
        <f t="shared" si="54"/>
        <v>0</v>
      </c>
      <c r="AM41" s="240">
        <f t="shared" si="54"/>
        <v>0</v>
      </c>
      <c r="AN41" s="240">
        <f t="shared" si="54"/>
        <v>0</v>
      </c>
      <c r="AO41" s="240">
        <f t="shared" si="54"/>
        <v>0</v>
      </c>
      <c r="AP41" s="240">
        <f t="shared" si="54"/>
        <v>0</v>
      </c>
      <c r="AQ41" s="240">
        <f t="shared" si="54"/>
        <v>0</v>
      </c>
      <c r="AR41" s="240">
        <f t="shared" si="54"/>
        <v>0</v>
      </c>
      <c r="AS41" s="240">
        <f t="shared" si="54"/>
        <v>0</v>
      </c>
      <c r="AT41" s="240">
        <f t="shared" si="54"/>
        <v>0</v>
      </c>
      <c r="AU41" s="240">
        <f t="shared" ref="AU41" si="55">ROUND(AU25-AU40-AU42,0)</f>
        <v>0</v>
      </c>
      <c r="AW41" s="150"/>
      <c r="AY41" s="304"/>
      <c r="AZ41" s="393"/>
      <c r="BA41" s="44"/>
      <c r="BB41" s="304"/>
      <c r="BC41" s="412"/>
      <c r="BD41" s="304"/>
      <c r="BE41" s="304"/>
      <c r="BF41" s="309"/>
      <c r="BG41" s="309"/>
      <c r="BH41" s="304"/>
      <c r="BI41" s="304"/>
    </row>
    <row r="42" spans="1:61" s="36" customFormat="1" ht="18.75" customHeight="1" x14ac:dyDescent="0.3">
      <c r="A42" s="65" t="s">
        <v>4</v>
      </c>
      <c r="B42" s="65"/>
      <c r="C42" s="66"/>
      <c r="D42" s="235">
        <v>2025</v>
      </c>
      <c r="E42" s="235">
        <v>2139</v>
      </c>
      <c r="F42" s="235">
        <v>2255</v>
      </c>
      <c r="G42" s="235">
        <v>2240</v>
      </c>
      <c r="H42" s="235">
        <v>2201</v>
      </c>
      <c r="I42" s="235">
        <v>2061</v>
      </c>
      <c r="J42" s="235">
        <v>2061</v>
      </c>
      <c r="K42" s="235">
        <v>2300</v>
      </c>
      <c r="L42" s="235">
        <v>1877</v>
      </c>
      <c r="M42" s="235">
        <v>2000</v>
      </c>
      <c r="N42" s="235">
        <v>2196</v>
      </c>
      <c r="O42" s="235">
        <v>2320</v>
      </c>
      <c r="P42" s="66">
        <f t="shared" ref="P42:U42" si="56">P18-P40</f>
        <v>2192</v>
      </c>
      <c r="Q42" s="66">
        <f t="shared" si="56"/>
        <v>2065</v>
      </c>
      <c r="R42" s="66">
        <f t="shared" si="56"/>
        <v>1980</v>
      </c>
      <c r="S42" s="66">
        <f t="shared" si="56"/>
        <v>1820</v>
      </c>
      <c r="T42" s="66">
        <f t="shared" si="56"/>
        <v>1848</v>
      </c>
      <c r="U42" s="66">
        <f t="shared" si="56"/>
        <v>2073</v>
      </c>
      <c r="V42" s="66">
        <f>6202-U42-T42</f>
        <v>2281</v>
      </c>
      <c r="W42" s="66">
        <f>8321-V42-U42-T42</f>
        <v>2119</v>
      </c>
      <c r="X42" s="235">
        <v>1986</v>
      </c>
      <c r="Y42" s="66">
        <f>3986-X42</f>
        <v>2000</v>
      </c>
      <c r="Z42" s="235">
        <v>2176</v>
      </c>
      <c r="AA42" s="235">
        <v>2351</v>
      </c>
      <c r="AB42" s="235">
        <v>2279</v>
      </c>
      <c r="AC42" s="66">
        <f>4750-AB42</f>
        <v>2471</v>
      </c>
      <c r="AD42" s="235">
        <v>2608</v>
      </c>
      <c r="AE42" s="235">
        <v>2608</v>
      </c>
      <c r="AF42" s="235">
        <v>3184</v>
      </c>
      <c r="AG42" s="66">
        <f>6490-AF42</f>
        <v>3306</v>
      </c>
      <c r="AH42" s="66">
        <f>9895-AG42-AF42</f>
        <v>3405</v>
      </c>
      <c r="AI42" s="66">
        <f>13060-AF42-AG42-AH42</f>
        <v>3165</v>
      </c>
      <c r="AJ42" s="235">
        <v>3119</v>
      </c>
      <c r="AK42" s="235">
        <v>3369</v>
      </c>
      <c r="AL42" s="235">
        <v>3418</v>
      </c>
      <c r="AM42" s="235">
        <v>3381</v>
      </c>
      <c r="AN42" s="235">
        <v>3174</v>
      </c>
      <c r="AO42" s="235">
        <v>3560</v>
      </c>
      <c r="AP42" s="235">
        <v>3643</v>
      </c>
      <c r="AQ42" s="235">
        <v>3858</v>
      </c>
      <c r="AR42" s="235">
        <v>3583</v>
      </c>
      <c r="AS42" s="235">
        <v>4069</v>
      </c>
      <c r="AT42" s="235">
        <v>4103</v>
      </c>
      <c r="AU42" s="235">
        <v>4130</v>
      </c>
      <c r="AV42" s="69"/>
      <c r="AX42" s="70" t="s">
        <v>377</v>
      </c>
      <c r="AY42" s="317"/>
      <c r="AZ42" s="391" cm="1">
        <f t="array" ref="AZ42">_xll.VAData("EXCL_IJ", "4QFY-2023", "EBITDA", "Consensus", "CD", "IMPL","","")</f>
        <v>4035.522604148447</v>
      </c>
      <c r="BA42" s="280">
        <f>AU42/AZ42-1</f>
        <v>2.3411440132792727E-2</v>
      </c>
      <c r="BB42" s="296"/>
      <c r="BC42" s="410">
        <f>SUM(AN42:AQ42)</f>
        <v>14235</v>
      </c>
      <c r="BD42" s="303">
        <f>SUM(AR42:AU42)</f>
        <v>15885</v>
      </c>
      <c r="BE42" s="404">
        <f>BD42/BC42-1</f>
        <v>0.11591148577449939</v>
      </c>
      <c r="BF42" s="307"/>
      <c r="BG42" s="308"/>
      <c r="BH42" s="298"/>
      <c r="BI42" s="299"/>
    </row>
    <row r="43" spans="1:61" s="75" customFormat="1" ht="18.75" customHeight="1" x14ac:dyDescent="0.25">
      <c r="A43" s="45" t="s">
        <v>6</v>
      </c>
      <c r="B43" s="45"/>
      <c r="C43" s="68"/>
      <c r="D43" s="71">
        <f t="shared" ref="D43:AT43" si="57">D42/D18</f>
        <v>0.35168461271274748</v>
      </c>
      <c r="E43" s="71">
        <f t="shared" si="57"/>
        <v>0.3532617671345995</v>
      </c>
      <c r="F43" s="71">
        <f t="shared" si="57"/>
        <v>0.35300563556668751</v>
      </c>
      <c r="G43" s="71">
        <f t="shared" si="57"/>
        <v>0.35093216355945478</v>
      </c>
      <c r="H43" s="71">
        <f t="shared" si="57"/>
        <v>0.39967314327219899</v>
      </c>
      <c r="I43" s="71">
        <f t="shared" si="57"/>
        <v>0.34116868068200629</v>
      </c>
      <c r="J43" s="71">
        <f t="shared" si="57"/>
        <v>0.34315684315684314</v>
      </c>
      <c r="K43" s="71">
        <f t="shared" si="57"/>
        <v>0.38943447341686421</v>
      </c>
      <c r="L43" s="71">
        <f t="shared" si="57"/>
        <v>0.34245575624885971</v>
      </c>
      <c r="M43" s="71">
        <f t="shared" si="57"/>
        <v>0.35644270183567989</v>
      </c>
      <c r="N43" s="71">
        <f t="shared" si="57"/>
        <v>0.37667238421955401</v>
      </c>
      <c r="O43" s="71">
        <f t="shared" si="57"/>
        <v>0.3884145320609409</v>
      </c>
      <c r="P43" s="71">
        <f t="shared" si="57"/>
        <v>0.3903133903133903</v>
      </c>
      <c r="Q43" s="71">
        <f t="shared" si="57"/>
        <v>0.39423444062619323</v>
      </c>
      <c r="R43" s="71">
        <f t="shared" si="57"/>
        <v>0.37858508604206503</v>
      </c>
      <c r="S43" s="71">
        <f t="shared" si="57"/>
        <v>0.34620505992010653</v>
      </c>
      <c r="T43" s="71">
        <f t="shared" si="57"/>
        <v>0.3509304975313331</v>
      </c>
      <c r="U43" s="71">
        <f t="shared" si="57"/>
        <v>0.36580201164637377</v>
      </c>
      <c r="V43" s="71">
        <f t="shared" si="57"/>
        <v>0.38207705192629815</v>
      </c>
      <c r="W43" s="71">
        <f t="shared" si="57"/>
        <v>0.35328442814271421</v>
      </c>
      <c r="X43" s="71">
        <f t="shared" si="57"/>
        <v>0.36100131512815459</v>
      </c>
      <c r="Y43" s="71">
        <f t="shared" si="57"/>
        <v>0.36070631346063986</v>
      </c>
      <c r="Z43" s="71">
        <f t="shared" si="57"/>
        <v>0.372209497842177</v>
      </c>
      <c r="AA43" s="71">
        <f t="shared" si="57"/>
        <v>0.38881354810968144</v>
      </c>
      <c r="AB43" s="71">
        <f t="shared" si="57"/>
        <v>0.3819196329817684</v>
      </c>
      <c r="AC43" s="71">
        <f t="shared" si="57"/>
        <v>0.3928704584787121</v>
      </c>
      <c r="AD43" s="71">
        <f t="shared" si="57"/>
        <v>0.40348450955204707</v>
      </c>
      <c r="AE43" s="71">
        <f t="shared" si="57"/>
        <v>0.40671643536748731</v>
      </c>
      <c r="AF43" s="71">
        <f t="shared" si="57"/>
        <v>0.49006095133082178</v>
      </c>
      <c r="AG43" s="71">
        <f t="shared" si="57"/>
        <v>0.50204942772287786</v>
      </c>
      <c r="AH43" s="71">
        <f t="shared" si="57"/>
        <v>0.51795020711163131</v>
      </c>
      <c r="AI43" s="71">
        <f t="shared" si="57"/>
        <v>0.49819422302478972</v>
      </c>
      <c r="AJ43" s="71">
        <f t="shared" si="57"/>
        <v>0.49925064383164541</v>
      </c>
      <c r="AK43" s="71">
        <f t="shared" si="57"/>
        <v>0.50082981062716558</v>
      </c>
      <c r="AL43" s="71">
        <f t="shared" si="57"/>
        <v>0.50073293354784665</v>
      </c>
      <c r="AM43" s="71">
        <f t="shared" si="57"/>
        <v>0.48620499386167992</v>
      </c>
      <c r="AN43" s="71">
        <f t="shared" si="57"/>
        <v>0.47077606410741879</v>
      </c>
      <c r="AO43" s="71">
        <f t="shared" si="57"/>
        <v>0.48549376010962347</v>
      </c>
      <c r="AP43" s="71">
        <f t="shared" si="57"/>
        <v>0.4844028401989201</v>
      </c>
      <c r="AQ43" s="71">
        <f t="shared" si="57"/>
        <v>0.5112240038353727</v>
      </c>
      <c r="AR43" s="71">
        <f t="shared" si="57"/>
        <v>0.47473780110672342</v>
      </c>
      <c r="AS43" s="71">
        <f t="shared" si="57"/>
        <v>0.49518065940442257</v>
      </c>
      <c r="AT43" s="71">
        <f t="shared" si="57"/>
        <v>0.50633836162826473</v>
      </c>
      <c r="AU43" s="71">
        <f t="shared" ref="AU43" si="58">AU42/AU18</f>
        <v>0.48847720130240074</v>
      </c>
      <c r="AV43" s="72"/>
      <c r="AW43" s="36" t="s">
        <v>432</v>
      </c>
      <c r="AX43" s="73"/>
      <c r="AY43" s="312"/>
      <c r="AZ43" s="394"/>
      <c r="BA43" s="74"/>
      <c r="BB43" s="299"/>
      <c r="BC43" s="412">
        <f>BC42/BC18</f>
        <v>0.48847034969535719</v>
      </c>
      <c r="BD43" s="304">
        <f>BD42/BD18</f>
        <v>0.4914510260931258</v>
      </c>
      <c r="BE43" s="311"/>
      <c r="BF43" s="311"/>
      <c r="BG43" s="311"/>
      <c r="BH43" s="311"/>
      <c r="BI43" s="311"/>
    </row>
    <row r="44" spans="1:61" s="75" customFormat="1" ht="18.75" customHeight="1" x14ac:dyDescent="0.25">
      <c r="A44" s="48" t="s">
        <v>78</v>
      </c>
      <c r="B44" s="48"/>
      <c r="C44" s="76"/>
      <c r="D44" s="77">
        <f t="shared" ref="D44:AS44" si="59">D42/D13</f>
        <v>0.43907198612315695</v>
      </c>
      <c r="E44" s="77">
        <f t="shared" si="59"/>
        <v>0.43590788669248015</v>
      </c>
      <c r="F44" s="77">
        <f t="shared" si="59"/>
        <v>0.43240651965484178</v>
      </c>
      <c r="G44" s="77">
        <f t="shared" si="59"/>
        <v>0.42928325028746644</v>
      </c>
      <c r="H44" s="77">
        <f t="shared" si="59"/>
        <v>0.51861451460885954</v>
      </c>
      <c r="I44" s="77">
        <f t="shared" si="59"/>
        <v>0.41992665036674814</v>
      </c>
      <c r="J44" s="77">
        <f t="shared" si="59"/>
        <v>0.42035488476442995</v>
      </c>
      <c r="K44" s="77">
        <f t="shared" si="59"/>
        <v>0.47393364928909953</v>
      </c>
      <c r="L44" s="77">
        <f t="shared" si="59"/>
        <v>0.41325407309555262</v>
      </c>
      <c r="M44" s="77">
        <f t="shared" si="59"/>
        <v>0.42689434364994666</v>
      </c>
      <c r="N44" s="77">
        <f t="shared" si="59"/>
        <v>0.44507498986623428</v>
      </c>
      <c r="O44" s="77">
        <f t="shared" si="59"/>
        <v>0.46104928457869632</v>
      </c>
      <c r="P44" s="77">
        <f t="shared" si="59"/>
        <v>0.45848148922819493</v>
      </c>
      <c r="Q44" s="77">
        <f t="shared" si="59"/>
        <v>0.46207205191317968</v>
      </c>
      <c r="R44" s="77">
        <f t="shared" si="59"/>
        <v>0.43621943159286186</v>
      </c>
      <c r="S44" s="77">
        <f t="shared" si="59"/>
        <v>0.39694656488549618</v>
      </c>
      <c r="T44" s="77">
        <f t="shared" si="59"/>
        <v>0.40182648401826482</v>
      </c>
      <c r="U44" s="77">
        <f t="shared" si="59"/>
        <v>0.41245523278949464</v>
      </c>
      <c r="V44" s="77">
        <f t="shared" si="59"/>
        <v>0.43200757575757576</v>
      </c>
      <c r="W44" s="77">
        <f t="shared" si="59"/>
        <v>0.3957049486461251</v>
      </c>
      <c r="X44" s="77">
        <f t="shared" si="59"/>
        <v>0.40919742292160777</v>
      </c>
      <c r="Y44" s="77">
        <f t="shared" si="59"/>
        <v>0.4130416240631441</v>
      </c>
      <c r="Z44" s="77">
        <f t="shared" si="59"/>
        <v>0.43112893568610328</v>
      </c>
      <c r="AA44" s="77">
        <f t="shared" si="59"/>
        <v>0.44000542005825816</v>
      </c>
      <c r="AB44" s="77">
        <f t="shared" si="59"/>
        <v>0.42075210685294223</v>
      </c>
      <c r="AC44" s="77">
        <f t="shared" si="59"/>
        <v>0.43334113733196195</v>
      </c>
      <c r="AD44" s="77">
        <f t="shared" si="59"/>
        <v>0.43920290062529155</v>
      </c>
      <c r="AE44" s="77">
        <f t="shared" si="59"/>
        <v>0.44248906205383126</v>
      </c>
      <c r="AF44" s="77">
        <f t="shared" si="59"/>
        <v>0.5300311593066579</v>
      </c>
      <c r="AG44" s="77">
        <f t="shared" si="59"/>
        <v>0.53501889639486921</v>
      </c>
      <c r="AH44" s="77">
        <f t="shared" si="59"/>
        <v>0.55374488477146278</v>
      </c>
      <c r="AI44" s="77">
        <f t="shared" si="59"/>
        <v>0.53851267393406388</v>
      </c>
      <c r="AJ44" s="77">
        <f t="shared" si="59"/>
        <v>0.53891543053623725</v>
      </c>
      <c r="AK44" s="77">
        <f t="shared" si="59"/>
        <v>0.53650144683404422</v>
      </c>
      <c r="AL44" s="77">
        <f t="shared" si="59"/>
        <v>0.53913304630045578</v>
      </c>
      <c r="AM44" s="77">
        <f t="shared" si="59"/>
        <v>0.52831402197917587</v>
      </c>
      <c r="AN44" s="77">
        <f t="shared" si="59"/>
        <v>0.4896680655272756</v>
      </c>
      <c r="AO44" s="77">
        <f t="shared" si="59"/>
        <v>0.51476813382814701</v>
      </c>
      <c r="AP44" s="77">
        <f t="shared" si="59"/>
        <v>0.51263296197580543</v>
      </c>
      <c r="AQ44" s="77">
        <f t="shared" si="59"/>
        <v>0.52820871391035873</v>
      </c>
      <c r="AR44" s="77">
        <f t="shared" si="59"/>
        <v>0.49113348481756031</v>
      </c>
      <c r="AS44" s="77">
        <f t="shared" si="59"/>
        <v>0.51601419425822925</v>
      </c>
      <c r="AT44" s="77">
        <f t="shared" ref="AT44:AU44" si="60">AT42/AT13</f>
        <v>0.53436098735011384</v>
      </c>
      <c r="AU44" s="77">
        <f t="shared" si="60"/>
        <v>0.51316536300298909</v>
      </c>
      <c r="AV44" s="70"/>
      <c r="AW44" s="43"/>
      <c r="AX44" s="73"/>
      <c r="AY44" s="312"/>
      <c r="AZ44" s="395"/>
      <c r="BA44" s="74"/>
      <c r="BB44" s="312"/>
      <c r="BC44" s="411"/>
      <c r="BD44" s="310"/>
      <c r="BE44" s="311"/>
      <c r="BF44" s="311"/>
      <c r="BG44" s="311"/>
      <c r="BH44" s="311"/>
      <c r="BI44" s="311"/>
    </row>
    <row r="45" spans="1:61" s="75" customFormat="1" ht="18.75" customHeight="1" x14ac:dyDescent="0.25">
      <c r="A45" s="78" t="s">
        <v>427</v>
      </c>
      <c r="B45" s="78"/>
      <c r="C45" s="79"/>
      <c r="D45" s="80"/>
      <c r="E45" s="80"/>
      <c r="F45" s="80"/>
      <c r="G45" s="80"/>
      <c r="H45" s="80"/>
      <c r="I45" s="80"/>
      <c r="J45" s="80"/>
      <c r="K45" s="80"/>
      <c r="L45" s="80"/>
      <c r="M45" s="80"/>
      <c r="N45" s="80"/>
      <c r="O45" s="80"/>
      <c r="P45" s="80"/>
      <c r="Q45" s="80"/>
      <c r="R45" s="80"/>
      <c r="S45" s="80"/>
      <c r="T45" s="80"/>
      <c r="U45" s="80"/>
      <c r="V45" s="80"/>
      <c r="W45" s="80"/>
      <c r="X45" s="77">
        <f t="shared" ref="X45:AD45" si="61">X43-T43</f>
        <v>1.0070817596821491E-2</v>
      </c>
      <c r="Y45" s="77">
        <f t="shared" si="61"/>
        <v>-5.0956981857339101E-3</v>
      </c>
      <c r="Z45" s="77">
        <f t="shared" si="61"/>
        <v>-9.8675540841211551E-3</v>
      </c>
      <c r="AA45" s="77">
        <f t="shared" si="61"/>
        <v>3.5529119966967226E-2</v>
      </c>
      <c r="AB45" s="77">
        <f t="shared" si="61"/>
        <v>2.091831785361381E-2</v>
      </c>
      <c r="AC45" s="77">
        <f t="shared" si="61"/>
        <v>3.2164145018072243E-2</v>
      </c>
      <c r="AD45" s="77">
        <f t="shared" si="61"/>
        <v>3.1275011709870071E-2</v>
      </c>
      <c r="AE45" s="77">
        <f t="shared" ref="AE45:AI45" si="62">AE43-AA43</f>
        <v>1.7902887257805866E-2</v>
      </c>
      <c r="AF45" s="77">
        <f t="shared" si="62"/>
        <v>0.10814131834905338</v>
      </c>
      <c r="AG45" s="77">
        <f t="shared" si="62"/>
        <v>0.10917896924416576</v>
      </c>
      <c r="AH45" s="77">
        <f t="shared" si="62"/>
        <v>0.11446569755958425</v>
      </c>
      <c r="AI45" s="77">
        <f t="shared" si="62"/>
        <v>9.1477787657302412E-2</v>
      </c>
      <c r="AJ45" s="77">
        <f t="shared" ref="AJ45:AU45" si="63">AJ43-AF43</f>
        <v>9.1896925008236319E-3</v>
      </c>
      <c r="AK45" s="77">
        <f t="shared" si="63"/>
        <v>-1.2196170957122776E-3</v>
      </c>
      <c r="AL45" s="77">
        <f t="shared" si="63"/>
        <v>-1.7217273563784663E-2</v>
      </c>
      <c r="AM45" s="77">
        <f t="shared" si="63"/>
        <v>-1.1989229163109794E-2</v>
      </c>
      <c r="AN45" s="77">
        <f t="shared" si="63"/>
        <v>-2.8474579724226623E-2</v>
      </c>
      <c r="AO45" s="77">
        <f t="shared" si="63"/>
        <v>-1.533605051754211E-2</v>
      </c>
      <c r="AP45" s="77">
        <f t="shared" si="63"/>
        <v>-1.6330093348926544E-2</v>
      </c>
      <c r="AQ45" s="77">
        <f t="shared" si="63"/>
        <v>2.5019009973692774E-2</v>
      </c>
      <c r="AR45" s="77">
        <f t="shared" si="63"/>
        <v>3.9617369993046325E-3</v>
      </c>
      <c r="AS45" s="77">
        <f t="shared" si="63"/>
        <v>9.6868992947991006E-3</v>
      </c>
      <c r="AT45" s="77">
        <f t="shared" si="63"/>
        <v>2.1935521429344629E-2</v>
      </c>
      <c r="AU45" s="77">
        <f t="shared" si="63"/>
        <v>-2.2746802532971955E-2</v>
      </c>
      <c r="AV45" s="81"/>
      <c r="AW45" s="82"/>
      <c r="AX45" s="73"/>
      <c r="AY45" s="312"/>
      <c r="AZ45" s="395"/>
      <c r="BA45" s="74"/>
      <c r="BB45" s="295"/>
      <c r="BC45" s="411"/>
      <c r="BD45" s="310"/>
      <c r="BE45" s="311"/>
      <c r="BF45" s="311"/>
      <c r="BG45" s="311"/>
      <c r="BH45" s="311"/>
      <c r="BI45" s="311"/>
    </row>
    <row r="46" spans="1:61" ht="18.75" customHeight="1" x14ac:dyDescent="0.25">
      <c r="A46" s="83" t="s">
        <v>57</v>
      </c>
      <c r="B46" s="83"/>
      <c r="C46" s="62"/>
      <c r="D46" s="234">
        <v>1326</v>
      </c>
      <c r="E46" s="234">
        <v>1386</v>
      </c>
      <c r="F46" s="234">
        <v>1573</v>
      </c>
      <c r="G46" s="234">
        <v>1474</v>
      </c>
      <c r="H46" s="234">
        <v>1557</v>
      </c>
      <c r="I46" s="234">
        <v>1710</v>
      </c>
      <c r="J46" s="234">
        <v>1907</v>
      </c>
      <c r="K46" s="234">
        <v>1784</v>
      </c>
      <c r="L46" s="234">
        <v>1791</v>
      </c>
      <c r="M46" s="234">
        <v>1782</v>
      </c>
      <c r="N46" s="234">
        <v>1681</v>
      </c>
      <c r="O46" s="234">
        <v>1881</v>
      </c>
      <c r="P46" s="234">
        <v>1871</v>
      </c>
      <c r="Q46" s="234">
        <v>2090</v>
      </c>
      <c r="R46" s="234">
        <v>1800</v>
      </c>
      <c r="S46" s="234">
        <v>2285</v>
      </c>
      <c r="T46" s="234">
        <v>1679</v>
      </c>
      <c r="U46" s="62">
        <f>3381-T46</f>
        <v>1702</v>
      </c>
      <c r="V46" s="62">
        <f>5086-U46-T46</f>
        <v>1705</v>
      </c>
      <c r="W46" s="62">
        <f>6951-V46-U46-T46</f>
        <v>1865</v>
      </c>
      <c r="X46" s="234">
        <v>1848</v>
      </c>
      <c r="Y46" s="62">
        <f>3702-X46</f>
        <v>1854</v>
      </c>
      <c r="Z46" s="62">
        <f>5626-Y46-X46</f>
        <v>1924</v>
      </c>
      <c r="AA46" s="62">
        <f>11621-X46-Y46-Z46</f>
        <v>5995</v>
      </c>
      <c r="AB46" s="62">
        <f>1763+8</f>
        <v>1771</v>
      </c>
      <c r="AC46" s="62">
        <f>3532-AB46</f>
        <v>1761</v>
      </c>
      <c r="AD46" s="62">
        <f>5409-AB46-AC46</f>
        <v>1877</v>
      </c>
      <c r="AE46" s="62">
        <f>7363-AD46-AC46-AB46</f>
        <v>1954</v>
      </c>
      <c r="AF46" s="63">
        <f>2594.85+8.191</f>
        <v>2603.0409999999997</v>
      </c>
      <c r="AG46" s="63">
        <f>2488.462+8.191</f>
        <v>2496.6529999999998</v>
      </c>
      <c r="AH46" s="84">
        <f>7419.457+21.842-AF46-AG46</f>
        <v>2341.605</v>
      </c>
      <c r="AI46" s="84">
        <f>12432.846+21.842-AF46-AG46-AH46</f>
        <v>5013.389000000001</v>
      </c>
      <c r="AJ46" s="241">
        <v>2419.9369999999999</v>
      </c>
      <c r="AK46" s="84">
        <f>4919.524-AJ46</f>
        <v>2499.5870000000004</v>
      </c>
      <c r="AL46" s="84">
        <f>7419.601-AJ46-AK46</f>
        <v>2500.0769999999993</v>
      </c>
      <c r="AM46" s="84">
        <f>9956.227-AJ46-AK46-AL46</f>
        <v>2536.6260000000011</v>
      </c>
      <c r="AN46" s="241">
        <v>2560.8670000000002</v>
      </c>
      <c r="AO46" s="84">
        <f>5096.579-AN46</f>
        <v>2535.7119999999995</v>
      </c>
      <c r="AP46" s="84">
        <f>7677.041-AN46-AO46</f>
        <v>2580.4620000000004</v>
      </c>
      <c r="AQ46" s="84">
        <f>10564.296-AP46-AO46-AN46</f>
        <v>2887.2550000000001</v>
      </c>
      <c r="AR46" s="241">
        <v>2737.9949999999999</v>
      </c>
      <c r="AS46" s="241">
        <f>5519.712+48.422-AR46</f>
        <v>2830.1390000000001</v>
      </c>
      <c r="AT46" s="241">
        <f>8414.823+110.058-AS46-AR46</f>
        <v>2956.7470000000012</v>
      </c>
      <c r="AU46" s="84">
        <f>11347.758-AT46-AS46-AR46</f>
        <v>2822.8769999999986</v>
      </c>
      <c r="AV46" s="70"/>
      <c r="AW46" s="36"/>
      <c r="AX46" s="43" t="s">
        <v>147</v>
      </c>
      <c r="BA46" s="44"/>
      <c r="BB46" s="305"/>
      <c r="BC46" s="411"/>
      <c r="BD46" s="313"/>
    </row>
    <row r="47" spans="1:61" ht="18.75" customHeight="1" x14ac:dyDescent="0.25">
      <c r="A47" s="45" t="s">
        <v>5</v>
      </c>
      <c r="B47" s="45"/>
      <c r="C47" s="68"/>
      <c r="D47" s="68">
        <f>D42-D46</f>
        <v>699</v>
      </c>
      <c r="E47" s="68">
        <f t="shared" ref="E47:X47" si="64">E42-E46</f>
        <v>753</v>
      </c>
      <c r="F47" s="68">
        <f t="shared" si="64"/>
        <v>682</v>
      </c>
      <c r="G47" s="68">
        <f t="shared" si="64"/>
        <v>766</v>
      </c>
      <c r="H47" s="68">
        <f t="shared" si="64"/>
        <v>644</v>
      </c>
      <c r="I47" s="68">
        <f t="shared" si="64"/>
        <v>351</v>
      </c>
      <c r="J47" s="68">
        <f t="shared" si="64"/>
        <v>154</v>
      </c>
      <c r="K47" s="68">
        <f t="shared" si="64"/>
        <v>516</v>
      </c>
      <c r="L47" s="68">
        <f t="shared" si="64"/>
        <v>86</v>
      </c>
      <c r="M47" s="68">
        <f t="shared" si="64"/>
        <v>218</v>
      </c>
      <c r="N47" s="68">
        <f t="shared" si="64"/>
        <v>515</v>
      </c>
      <c r="O47" s="68">
        <f t="shared" si="64"/>
        <v>439</v>
      </c>
      <c r="P47" s="68">
        <f t="shared" si="64"/>
        <v>321</v>
      </c>
      <c r="Q47" s="68">
        <f t="shared" si="64"/>
        <v>-25</v>
      </c>
      <c r="R47" s="68">
        <f t="shared" si="64"/>
        <v>180</v>
      </c>
      <c r="S47" s="68">
        <f t="shared" si="64"/>
        <v>-465</v>
      </c>
      <c r="T47" s="68">
        <f t="shared" si="64"/>
        <v>169</v>
      </c>
      <c r="U47" s="68">
        <f t="shared" si="64"/>
        <v>371</v>
      </c>
      <c r="V47" s="68">
        <f t="shared" si="64"/>
        <v>576</v>
      </c>
      <c r="W47" s="68">
        <f t="shared" si="64"/>
        <v>254</v>
      </c>
      <c r="X47" s="68">
        <f t="shared" si="64"/>
        <v>138</v>
      </c>
      <c r="Y47" s="68">
        <f>284-X47</f>
        <v>146</v>
      </c>
      <c r="Z47" s="68">
        <f>535-Y47-X47</f>
        <v>251</v>
      </c>
      <c r="AA47" s="68">
        <f>-3109-X47-Y47-Z47</f>
        <v>-3644</v>
      </c>
      <c r="AB47" s="237">
        <v>669.4</v>
      </c>
      <c r="AC47" s="68">
        <f>1218-AB47</f>
        <v>548.6</v>
      </c>
      <c r="AD47" s="68">
        <f>1949-AB47-AC47</f>
        <v>730.99999999999989</v>
      </c>
      <c r="AE47" s="68">
        <f>2603-AD47-AC47-AB47</f>
        <v>654.00000000000011</v>
      </c>
      <c r="AF47" s="271">
        <v>2172.7710000000002</v>
      </c>
      <c r="AG47" s="271">
        <v>982.85</v>
      </c>
      <c r="AH47" s="86">
        <f>4291.088-AF47-AG47</f>
        <v>1135.4669999999996</v>
      </c>
      <c r="AI47" s="86">
        <f>2632.085-AF47-AG47-AH47</f>
        <v>-1659.0029999999997</v>
      </c>
      <c r="AJ47" s="86">
        <f t="shared" ref="AJ47:AO47" si="65">AJ42-AJ46</f>
        <v>699.0630000000001</v>
      </c>
      <c r="AK47" s="86">
        <f t="shared" si="65"/>
        <v>869.41299999999956</v>
      </c>
      <c r="AL47" s="86">
        <f t="shared" si="65"/>
        <v>917.92300000000068</v>
      </c>
      <c r="AM47" s="86">
        <f t="shared" si="65"/>
        <v>844.37399999999889</v>
      </c>
      <c r="AN47" s="86">
        <f t="shared" si="65"/>
        <v>613.13299999999981</v>
      </c>
      <c r="AO47" s="86">
        <f t="shared" si="65"/>
        <v>1024.2880000000005</v>
      </c>
      <c r="AP47" s="86">
        <f t="shared" ref="AP47:AS47" si="66">AP42-AP46</f>
        <v>1062.5379999999996</v>
      </c>
      <c r="AQ47" s="86">
        <f t="shared" si="66"/>
        <v>970.74499999999989</v>
      </c>
      <c r="AR47" s="86">
        <f t="shared" si="66"/>
        <v>845.00500000000011</v>
      </c>
      <c r="AS47" s="86">
        <f t="shared" si="66"/>
        <v>1238.8609999999999</v>
      </c>
      <c r="AT47" s="86">
        <f t="shared" ref="AT47:AU47" si="67">AT42-AT46</f>
        <v>1146.2529999999988</v>
      </c>
      <c r="AU47" s="86">
        <f t="shared" si="67"/>
        <v>1307.1230000000014</v>
      </c>
      <c r="AW47" s="36"/>
      <c r="AX47" s="64"/>
      <c r="AY47" s="305"/>
      <c r="AZ47" s="391" cm="1">
        <f t="array" ref="AZ47">_xll.VAData("EXCL_IJ", "4QFY-2023", "Operating income/(loss)", "Consensus", "CD", "IMPL","","")</f>
        <v>1160.2441180363901</v>
      </c>
      <c r="BA47" s="280">
        <f>AU47/AZ47-1</f>
        <v>0.12659308474857056</v>
      </c>
      <c r="BC47" s="411"/>
      <c r="BD47" s="305"/>
      <c r="BG47" s="309"/>
    </row>
    <row r="48" spans="1:61" ht="18.75" customHeight="1" x14ac:dyDescent="0.25">
      <c r="A48" s="48"/>
      <c r="B48" s="48"/>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W48" s="36"/>
      <c r="BA48" s="44"/>
      <c r="BC48" s="411"/>
      <c r="BD48" s="305"/>
      <c r="BG48" s="309"/>
    </row>
    <row r="49" spans="1:71" ht="18.75" customHeight="1" x14ac:dyDescent="0.25">
      <c r="A49" s="48" t="s">
        <v>58</v>
      </c>
      <c r="B49" s="48"/>
      <c r="C49" s="68"/>
      <c r="D49" s="240">
        <v>-205</v>
      </c>
      <c r="E49" s="240">
        <v>-118</v>
      </c>
      <c r="F49" s="240">
        <v>182</v>
      </c>
      <c r="G49" s="240">
        <v>-152</v>
      </c>
      <c r="H49" s="240">
        <v>-508</v>
      </c>
      <c r="I49" s="240">
        <v>-219</v>
      </c>
      <c r="J49" s="240">
        <v>-299</v>
      </c>
      <c r="K49" s="240">
        <v>-320</v>
      </c>
      <c r="L49" s="240">
        <v>-271</v>
      </c>
      <c r="M49" s="240">
        <v>-354</v>
      </c>
      <c r="N49" s="240">
        <v>-338</v>
      </c>
      <c r="O49" s="240">
        <v>-503</v>
      </c>
      <c r="P49" s="240">
        <v>-496</v>
      </c>
      <c r="Q49" s="240">
        <v>-438</v>
      </c>
      <c r="R49" s="240">
        <v>-355</v>
      </c>
      <c r="S49" s="240">
        <v>-301</v>
      </c>
      <c r="T49" s="240">
        <v>-348</v>
      </c>
      <c r="U49" s="76">
        <f>-714-T49</f>
        <v>-366</v>
      </c>
      <c r="V49" s="76">
        <f>-1057-U49-T49</f>
        <v>-343</v>
      </c>
      <c r="W49" s="76">
        <f>-1395-V49-U49-T49</f>
        <v>-338</v>
      </c>
      <c r="X49" s="240">
        <v>-345</v>
      </c>
      <c r="Y49" s="76">
        <f>-727-X49</f>
        <v>-382</v>
      </c>
      <c r="Z49" s="76">
        <f>-1145-Y49-X49</f>
        <v>-418</v>
      </c>
      <c r="AA49" s="76">
        <f>-1626-X49-Y49-Z49</f>
        <v>-481</v>
      </c>
      <c r="AB49" s="76">
        <f>-606.9+21.375</f>
        <v>-585.52499999999998</v>
      </c>
      <c r="AC49" s="76">
        <f>-1031-AB49</f>
        <v>-445.47500000000002</v>
      </c>
      <c r="AD49" s="76">
        <f>-1534-AB49-AC49</f>
        <v>-503</v>
      </c>
      <c r="AE49" s="76">
        <f>-2069-AD49-AC49-AB49</f>
        <v>-535.00000000000011</v>
      </c>
      <c r="AF49" s="76">
        <f>-657.442+26.627</f>
        <v>-630.81500000000005</v>
      </c>
      <c r="AG49" s="76">
        <f>-635.97+53.99</f>
        <v>-581.98</v>
      </c>
      <c r="AH49" s="76">
        <f>-1970.769+140.588-AF49-AG49</f>
        <v>-617.38599999999997</v>
      </c>
      <c r="AI49" s="76">
        <f>-2667.824+182.557-AF49-AG49-AH49</f>
        <v>-655.08600000000024</v>
      </c>
      <c r="AJ49" s="76">
        <f>-575+23</f>
        <v>-552</v>
      </c>
      <c r="AK49" s="76">
        <f>-1171.267+35.551-AJ49</f>
        <v>-583.71600000000012</v>
      </c>
      <c r="AL49" s="76">
        <f>-1772.65+62.858-AJ49-AK49</f>
        <v>-574.07600000000002</v>
      </c>
      <c r="AM49" s="76">
        <f>-2378.186+87.715-AJ49-AK49-AL49</f>
        <v>-580.67899999999986</v>
      </c>
      <c r="AN49" s="76">
        <f>-590.427+17.732</f>
        <v>-572.69500000000005</v>
      </c>
      <c r="AO49" s="76">
        <f>-1192.89+29.932-AN49</f>
        <v>-590.26300000000003</v>
      </c>
      <c r="AP49" s="76">
        <f>-1889.217+55.404-AN49-AO49</f>
        <v>-670.8549999999999</v>
      </c>
      <c r="AQ49" s="76">
        <f>-2776.627+111.67-AO49-AP49-AN49</f>
        <v>-831.14399999999989</v>
      </c>
      <c r="AR49" s="76">
        <f>-682.329+27.281</f>
        <v>-655.048</v>
      </c>
      <c r="AS49" s="76">
        <f>-1410.368+46.155-AR49</f>
        <v>-709.16499999999996</v>
      </c>
      <c r="AT49" s="76">
        <f>-2173.85+70.162-AS49-AR49</f>
        <v>-739.47500000000014</v>
      </c>
      <c r="AU49" s="76">
        <f>-2939.979+100.096-AS49-AT49-AR49</f>
        <v>-736.19499999999971</v>
      </c>
      <c r="AW49" s="36"/>
      <c r="AX49" s="43" t="s">
        <v>147</v>
      </c>
      <c r="BA49" s="44"/>
      <c r="BC49" s="411"/>
    </row>
    <row r="50" spans="1:71" ht="18.75" customHeight="1" x14ac:dyDescent="0.25">
      <c r="A50" s="48" t="s">
        <v>363</v>
      </c>
      <c r="B50" s="48"/>
      <c r="C50" s="68"/>
      <c r="D50" s="240">
        <v>-26</v>
      </c>
      <c r="E50" s="240">
        <v>-87</v>
      </c>
      <c r="F50" s="240">
        <v>-602</v>
      </c>
      <c r="G50" s="240">
        <v>-322</v>
      </c>
      <c r="H50" s="240">
        <v>478</v>
      </c>
      <c r="I50" s="240">
        <v>-1135</v>
      </c>
      <c r="J50" s="240">
        <v>-401</v>
      </c>
      <c r="K50" s="240">
        <v>-287</v>
      </c>
      <c r="L50" s="240">
        <v>-908</v>
      </c>
      <c r="M50" s="240">
        <v>-319</v>
      </c>
      <c r="N50" s="240">
        <v>-1799</v>
      </c>
      <c r="O50" s="240">
        <v>891</v>
      </c>
      <c r="P50" s="240">
        <v>405</v>
      </c>
      <c r="Q50" s="240">
        <v>6</v>
      </c>
      <c r="R50" s="240">
        <v>20</v>
      </c>
      <c r="S50" s="240">
        <v>-23</v>
      </c>
      <c r="T50" s="240">
        <v>43</v>
      </c>
      <c r="U50" s="76">
        <f>63-T50</f>
        <v>20</v>
      </c>
      <c r="V50" s="76">
        <f>34-U50-T50</f>
        <v>-29</v>
      </c>
      <c r="W50" s="76">
        <f>70-V50-U50-T50</f>
        <v>36</v>
      </c>
      <c r="X50" s="240">
        <v>-1</v>
      </c>
      <c r="Y50" s="76">
        <f>-44-X50</f>
        <v>-43</v>
      </c>
      <c r="Z50" s="76">
        <f>-104-Y50-X50</f>
        <v>-60</v>
      </c>
      <c r="AA50" s="76">
        <f>-100-X50-Y50-Z50</f>
        <v>4</v>
      </c>
      <c r="AB50" s="240">
        <v>0</v>
      </c>
      <c r="AC50" s="76">
        <f>-12-AB50</f>
        <v>-12</v>
      </c>
      <c r="AD50" s="76">
        <f>-9-AB50-AC50</f>
        <v>3</v>
      </c>
      <c r="AE50" s="76">
        <f>-17-AD50-AC50-AB50</f>
        <v>-8</v>
      </c>
      <c r="AF50" s="240">
        <v>43.351999999999997</v>
      </c>
      <c r="AG50" s="76">
        <f>-20.299</f>
        <v>-20.298999999999999</v>
      </c>
      <c r="AH50" s="76">
        <f>10.6-AF50-AG50</f>
        <v>-12.452999999999996</v>
      </c>
      <c r="AI50" s="76">
        <f>7.883-AF50-AG50-AH50</f>
        <v>-2.7169999999999987</v>
      </c>
      <c r="AJ50" s="240">
        <v>2.234</v>
      </c>
      <c r="AK50" s="76">
        <f>2.032-AJ50</f>
        <v>-0.20199999999999996</v>
      </c>
      <c r="AL50" s="76">
        <f>6.381-AJ50-AK50</f>
        <v>4.3490000000000002</v>
      </c>
      <c r="AM50" s="76">
        <f>9.506-AJ50-AK50-AL50</f>
        <v>3.125</v>
      </c>
      <c r="AN50" s="240">
        <v>-2.032</v>
      </c>
      <c r="AO50" s="76">
        <f>-5.809-AN50</f>
        <v>-3.7770000000000001</v>
      </c>
      <c r="AP50" s="76">
        <f>-0.45-AN50-AO50</f>
        <v>5.359</v>
      </c>
      <c r="AQ50" s="76">
        <f>-61.311-AO50-AP50-AN50</f>
        <v>-60.861000000000004</v>
      </c>
      <c r="AR50" s="240"/>
      <c r="AS50" s="240"/>
      <c r="AT50" s="240"/>
      <c r="AU50" s="76"/>
      <c r="AW50" s="36"/>
      <c r="AX50" s="43" t="s">
        <v>147</v>
      </c>
      <c r="BA50" s="44"/>
      <c r="BC50" s="411"/>
    </row>
    <row r="51" spans="1:71" ht="18.75" customHeight="1" x14ac:dyDescent="0.25">
      <c r="A51" s="50" t="s">
        <v>79</v>
      </c>
      <c r="B51" s="50"/>
      <c r="C51" s="62"/>
      <c r="D51" s="234">
        <v>-24</v>
      </c>
      <c r="E51" s="234">
        <v>-59</v>
      </c>
      <c r="F51" s="234">
        <v>-2</v>
      </c>
      <c r="G51" s="234">
        <v>-96</v>
      </c>
      <c r="H51" s="234">
        <v>-21</v>
      </c>
      <c r="I51" s="234">
        <v>-85</v>
      </c>
      <c r="J51" s="234">
        <v>-34</v>
      </c>
      <c r="K51" s="234">
        <v>96</v>
      </c>
      <c r="L51" s="234">
        <v>82</v>
      </c>
      <c r="M51" s="234">
        <v>217</v>
      </c>
      <c r="N51" s="234">
        <v>1562</v>
      </c>
      <c r="O51" s="234">
        <v>-148</v>
      </c>
      <c r="P51" s="234">
        <v>13</v>
      </c>
      <c r="Q51" s="234">
        <v>430</v>
      </c>
      <c r="R51" s="234">
        <v>64</v>
      </c>
      <c r="S51" s="234">
        <v>848</v>
      </c>
      <c r="T51" s="62">
        <f>107-44</f>
        <v>63</v>
      </c>
      <c r="U51" s="62">
        <f>-94+231-T51</f>
        <v>74</v>
      </c>
      <c r="V51" s="62">
        <f>202-103-U51-T51</f>
        <v>-38</v>
      </c>
      <c r="W51" s="62">
        <f>279-103-V51-U51-T51</f>
        <v>77</v>
      </c>
      <c r="X51" s="62">
        <f>137</f>
        <v>137</v>
      </c>
      <c r="Y51" s="62">
        <f>333-X51</f>
        <v>196</v>
      </c>
      <c r="Z51" s="62">
        <f>440-Y51-X51</f>
        <v>107</v>
      </c>
      <c r="AA51" s="62">
        <f>439-X51-Y51-Z51</f>
        <v>-1</v>
      </c>
      <c r="AB51" s="234">
        <v>21.4</v>
      </c>
      <c r="AC51" s="62">
        <f>240-AB51</f>
        <v>218.6</v>
      </c>
      <c r="AD51" s="62">
        <f>349-AB51-AC51</f>
        <v>109.00000000000003</v>
      </c>
      <c r="AE51" s="62">
        <f>626-AD51-AC51-AB51</f>
        <v>277</v>
      </c>
      <c r="AF51" s="62">
        <f t="shared" ref="AF51:AK51" si="68">AF52-AF49-AF50-AF47</f>
        <v>-39.614000000000033</v>
      </c>
      <c r="AG51" s="62">
        <f t="shared" si="68"/>
        <v>0.97400000000004638</v>
      </c>
      <c r="AH51" s="62">
        <f t="shared" si="68"/>
        <v>30.17200000000048</v>
      </c>
      <c r="AI51" s="62">
        <f t="shared" si="68"/>
        <v>-2.2000000000389264E-2</v>
      </c>
      <c r="AJ51" s="62">
        <f t="shared" si="68"/>
        <v>240.14099999999985</v>
      </c>
      <c r="AK51" s="62">
        <f t="shared" si="68"/>
        <v>167.34600000000069</v>
      </c>
      <c r="AL51" s="62">
        <f t="shared" ref="AL51:AO51" si="69">AL52-AL49-AL50-AL47</f>
        <v>65.61799999999937</v>
      </c>
      <c r="AM51" s="62">
        <f t="shared" si="69"/>
        <v>184.62700000000086</v>
      </c>
      <c r="AN51" s="62">
        <f t="shared" si="69"/>
        <v>133.81000000000029</v>
      </c>
      <c r="AO51" s="62">
        <f t="shared" si="69"/>
        <v>125.61799999999948</v>
      </c>
      <c r="AP51" s="62">
        <f t="shared" ref="AP51:AS51" si="70">AP52-AP49-AP50-AP47</f>
        <v>68.3100000000004</v>
      </c>
      <c r="AQ51" s="62">
        <f t="shared" si="70"/>
        <v>70.673999999999978</v>
      </c>
      <c r="AR51" s="62">
        <f t="shared" si="70"/>
        <v>47.819999999999936</v>
      </c>
      <c r="AS51" s="62">
        <f t="shared" si="70"/>
        <v>35.860000000000127</v>
      </c>
      <c r="AT51" s="62">
        <f t="shared" ref="AT51:AU51" si="71">AT52-AT49-AT50-AT47</f>
        <v>40.446000000001277</v>
      </c>
      <c r="AU51" s="62">
        <f t="shared" si="71"/>
        <v>-116.96800000000167</v>
      </c>
      <c r="AX51" s="43" t="s">
        <v>147</v>
      </c>
      <c r="BA51" s="44"/>
      <c r="BC51" s="411"/>
    </row>
    <row r="52" spans="1:71" ht="18.75" customHeight="1" x14ac:dyDescent="0.25">
      <c r="A52" s="37" t="s">
        <v>59</v>
      </c>
      <c r="B52" s="37"/>
      <c r="C52" s="87"/>
      <c r="D52" s="254">
        <f>SUM(D47:D51)</f>
        <v>444</v>
      </c>
      <c r="E52" s="254">
        <f t="shared" ref="E52:V52" si="72">SUM(E47:E51)</f>
        <v>489</v>
      </c>
      <c r="F52" s="254">
        <f t="shared" si="72"/>
        <v>260</v>
      </c>
      <c r="G52" s="254">
        <f t="shared" si="72"/>
        <v>196</v>
      </c>
      <c r="H52" s="254">
        <f t="shared" si="72"/>
        <v>593</v>
      </c>
      <c r="I52" s="254">
        <f t="shared" si="72"/>
        <v>-1088</v>
      </c>
      <c r="J52" s="254">
        <f t="shared" si="72"/>
        <v>-580</v>
      </c>
      <c r="K52" s="254">
        <f t="shared" si="72"/>
        <v>5</v>
      </c>
      <c r="L52" s="254">
        <f t="shared" si="72"/>
        <v>-1011</v>
      </c>
      <c r="M52" s="254">
        <f t="shared" si="72"/>
        <v>-238</v>
      </c>
      <c r="N52" s="254">
        <f t="shared" si="72"/>
        <v>-60</v>
      </c>
      <c r="O52" s="254">
        <f t="shared" si="72"/>
        <v>679</v>
      </c>
      <c r="P52" s="254">
        <f t="shared" si="72"/>
        <v>243</v>
      </c>
      <c r="Q52" s="254">
        <f t="shared" si="72"/>
        <v>-27</v>
      </c>
      <c r="R52" s="254">
        <f t="shared" si="72"/>
        <v>-91</v>
      </c>
      <c r="S52" s="254">
        <f t="shared" si="72"/>
        <v>59</v>
      </c>
      <c r="T52" s="254">
        <f t="shared" si="72"/>
        <v>-73</v>
      </c>
      <c r="U52" s="254">
        <f t="shared" si="72"/>
        <v>99</v>
      </c>
      <c r="V52" s="254">
        <f t="shared" si="72"/>
        <v>166</v>
      </c>
      <c r="W52" s="254">
        <f>SUM(W47:W51)</f>
        <v>29</v>
      </c>
      <c r="X52" s="254">
        <f>SUM(X47:X51)</f>
        <v>-71</v>
      </c>
      <c r="Y52" s="254">
        <f>SUM(Y47:Y51)</f>
        <v>-83</v>
      </c>
      <c r="Z52" s="254">
        <f>SUM(Z47:Z51)</f>
        <v>-120</v>
      </c>
      <c r="AA52" s="254">
        <f>SUM(AA47:AA51)</f>
        <v>-4122</v>
      </c>
      <c r="AB52" s="272">
        <v>83.9</v>
      </c>
      <c r="AC52" s="254">
        <f>415-AB52</f>
        <v>331.1</v>
      </c>
      <c r="AD52" s="254">
        <f>755-AB52-AC52</f>
        <v>340</v>
      </c>
      <c r="AE52" s="254">
        <f>1144-AD52-AC52-AB52</f>
        <v>389</v>
      </c>
      <c r="AF52" s="273">
        <v>1545.694</v>
      </c>
      <c r="AG52" s="273">
        <v>381.54500000000002</v>
      </c>
      <c r="AH52" s="255">
        <f>2463.039-AF52-AG52</f>
        <v>535.80000000000018</v>
      </c>
      <c r="AI52" s="255">
        <f>146.211-AF52-AG52-AH52</f>
        <v>-2316.8280000000004</v>
      </c>
      <c r="AJ52" s="273">
        <v>389.43799999999999</v>
      </c>
      <c r="AK52" s="255">
        <f>842.279-AJ52</f>
        <v>452.84100000000001</v>
      </c>
      <c r="AL52" s="255">
        <f>1256.093-AJ52-AK52</f>
        <v>413.81400000000008</v>
      </c>
      <c r="AM52" s="255">
        <f>1707.54-AJ52-AK52-AL52</f>
        <v>451.44699999999978</v>
      </c>
      <c r="AN52" s="273">
        <v>172.21600000000001</v>
      </c>
      <c r="AO52" s="255">
        <f>728.082-AN52</f>
        <v>555.86599999999999</v>
      </c>
      <c r="AP52" s="255">
        <f>1193.434-AN52-AO52</f>
        <v>465.35199999999998</v>
      </c>
      <c r="AQ52" s="255">
        <f>1342.848-AO52-AP52-AN52</f>
        <v>149.41399999999999</v>
      </c>
      <c r="AR52" s="273">
        <v>237.77699999999999</v>
      </c>
      <c r="AS52" s="273">
        <f>803.333-AR52</f>
        <v>565.55600000000004</v>
      </c>
      <c r="AT52" s="273">
        <f>1250.557-AS52-AR52</f>
        <v>447.22399999999999</v>
      </c>
      <c r="AU52" s="255">
        <f>1704.517-AS52-AT52-AR52</f>
        <v>453.96000000000009</v>
      </c>
      <c r="AV52" s="36"/>
      <c r="AW52" s="36"/>
      <c r="AX52" s="64"/>
      <c r="AY52" s="305"/>
      <c r="BA52" s="44"/>
      <c r="BC52" s="411"/>
      <c r="BD52" s="309"/>
      <c r="BE52" s="309"/>
      <c r="BF52" s="309"/>
      <c r="BG52" s="309"/>
      <c r="BH52" s="309"/>
      <c r="BI52" s="309"/>
      <c r="BJ52" s="44"/>
      <c r="BK52" s="44"/>
      <c r="BL52" s="44"/>
      <c r="BM52" s="44"/>
      <c r="BN52" s="44"/>
      <c r="BO52" s="44"/>
      <c r="BP52" s="44"/>
      <c r="BQ52" s="44"/>
      <c r="BR52" s="44"/>
      <c r="BS52" s="44"/>
    </row>
    <row r="53" spans="1:71" ht="18.75" customHeight="1" x14ac:dyDescent="0.25">
      <c r="A53" s="37"/>
      <c r="B53" s="37"/>
      <c r="C53" s="88"/>
      <c r="D53" s="88"/>
      <c r="E53" s="256"/>
      <c r="F53" s="256"/>
      <c r="G53" s="256"/>
      <c r="H53" s="256"/>
      <c r="I53" s="256"/>
      <c r="J53" s="256"/>
      <c r="K53" s="256"/>
      <c r="L53" s="256"/>
      <c r="M53" s="256"/>
      <c r="N53" s="256"/>
      <c r="O53" s="256"/>
      <c r="P53" s="256"/>
      <c r="Q53" s="256"/>
      <c r="R53" s="256"/>
      <c r="S53" s="256"/>
      <c r="T53" s="256"/>
      <c r="U53" s="256"/>
      <c r="V53" s="256"/>
      <c r="W53" s="256"/>
      <c r="X53" s="256"/>
      <c r="Y53" s="256"/>
      <c r="Z53" s="256"/>
      <c r="AA53" s="256"/>
      <c r="AB53" s="256"/>
      <c r="AC53" s="256"/>
      <c r="AD53" s="256"/>
      <c r="AE53" s="256"/>
      <c r="AF53" s="256"/>
      <c r="AG53" s="256"/>
      <c r="AH53" s="256"/>
      <c r="AI53" s="256"/>
      <c r="AJ53" s="256"/>
      <c r="AK53" s="257"/>
      <c r="AL53" s="256"/>
      <c r="AM53" s="256"/>
      <c r="AN53" s="257"/>
      <c r="AO53" s="257"/>
      <c r="AP53" s="256"/>
      <c r="AQ53" s="256"/>
      <c r="AR53" s="257"/>
      <c r="AS53" s="257"/>
      <c r="AT53" s="257"/>
      <c r="AU53" s="256"/>
      <c r="BA53" s="44"/>
      <c r="BC53" s="411"/>
      <c r="BD53" s="309"/>
      <c r="BE53" s="309"/>
      <c r="BF53" s="309"/>
      <c r="BG53" s="309"/>
      <c r="BH53" s="309"/>
      <c r="BI53" s="309"/>
      <c r="BJ53" s="44"/>
      <c r="BK53" s="44"/>
      <c r="BL53" s="44"/>
      <c r="BM53" s="44"/>
      <c r="BN53" s="44"/>
      <c r="BO53" s="44"/>
      <c r="BP53" s="44"/>
      <c r="BQ53" s="44"/>
      <c r="BR53" s="44"/>
      <c r="BS53" s="44"/>
    </row>
    <row r="54" spans="1:71" ht="18.75" customHeight="1" x14ac:dyDescent="0.25">
      <c r="A54" s="90" t="s">
        <v>60</v>
      </c>
      <c r="B54" s="90"/>
      <c r="C54" s="91"/>
      <c r="D54" s="274">
        <v>-128</v>
      </c>
      <c r="E54" s="274">
        <v>-135</v>
      </c>
      <c r="F54" s="274">
        <v>-14</v>
      </c>
      <c r="G54" s="274">
        <v>-80</v>
      </c>
      <c r="H54" s="274">
        <v>-213</v>
      </c>
      <c r="I54" s="274">
        <v>225</v>
      </c>
      <c r="J54" s="274">
        <v>161</v>
      </c>
      <c r="K54" s="274">
        <v>6</v>
      </c>
      <c r="L54" s="274">
        <v>253</v>
      </c>
      <c r="M54" s="274">
        <v>145</v>
      </c>
      <c r="N54" s="274">
        <v>404</v>
      </c>
      <c r="O54" s="274">
        <v>-197</v>
      </c>
      <c r="P54" s="274">
        <v>-72</v>
      </c>
      <c r="Q54" s="274">
        <v>81</v>
      </c>
      <c r="R54" s="274">
        <v>26</v>
      </c>
      <c r="S54" s="274">
        <v>155</v>
      </c>
      <c r="T54" s="274">
        <v>119</v>
      </c>
      <c r="U54" s="281">
        <f>117-T54</f>
        <v>-2</v>
      </c>
      <c r="V54" s="281">
        <f>46-U54-T54</f>
        <v>-71</v>
      </c>
      <c r="W54" s="281">
        <f>154-V54-U54-T54</f>
        <v>108</v>
      </c>
      <c r="X54" s="274">
        <v>87</v>
      </c>
      <c r="Y54" s="281">
        <f>73-X54</f>
        <v>-14</v>
      </c>
      <c r="Z54" s="281">
        <f>129-Y54-X54</f>
        <v>56</v>
      </c>
      <c r="AA54" s="281">
        <f>1099-X54-Y54-Z54</f>
        <v>970</v>
      </c>
      <c r="AB54" s="274">
        <v>-26.7</v>
      </c>
      <c r="AC54" s="281">
        <f>-133-AB54</f>
        <v>-106.3</v>
      </c>
      <c r="AD54" s="281">
        <f>-257-AB54-AC54</f>
        <v>-124.00000000000001</v>
      </c>
      <c r="AE54" s="281">
        <f>-432-AD54-AC54-AB54</f>
        <v>-175</v>
      </c>
      <c r="AF54" s="281">
        <f t="shared" ref="AF54:AK54" si="73">AF56-AF52</f>
        <v>-25.69399999999996</v>
      </c>
      <c r="AG54" s="281">
        <f t="shared" si="73"/>
        <v>-157.54500000000002</v>
      </c>
      <c r="AH54" s="281">
        <f t="shared" si="73"/>
        <v>-204.80000000000018</v>
      </c>
      <c r="AI54" s="281">
        <f t="shared" si="73"/>
        <v>613.82800000000043</v>
      </c>
      <c r="AJ54" s="281">
        <f t="shared" si="73"/>
        <v>-68.437999999999988</v>
      </c>
      <c r="AK54" s="281">
        <f t="shared" si="73"/>
        <v>-57.841000000000008</v>
      </c>
      <c r="AL54" s="281">
        <f t="shared" ref="AL54:AM54" si="74">AL56-AL52</f>
        <v>-113.81400000000008</v>
      </c>
      <c r="AM54" s="281">
        <f t="shared" si="74"/>
        <v>-180.44699999999978</v>
      </c>
      <c r="AN54" s="281">
        <f t="shared" ref="AN54:AP54" si="75">AN56-AN52</f>
        <v>-33.123999999999995</v>
      </c>
      <c r="AO54" s="281">
        <f t="shared" si="75"/>
        <v>-77.946000000000026</v>
      </c>
      <c r="AP54" s="281">
        <f t="shared" si="75"/>
        <v>-93.591999999999871</v>
      </c>
      <c r="AQ54" s="281">
        <f t="shared" ref="AQ54:AS54" si="76">AQ56-AQ52</f>
        <v>-16.997999999999962</v>
      </c>
      <c r="AR54" s="281">
        <f t="shared" si="76"/>
        <v>-33.601999999999975</v>
      </c>
      <c r="AS54" s="281">
        <f t="shared" si="76"/>
        <v>-112.20700000000005</v>
      </c>
      <c r="AT54" s="281">
        <f t="shared" ref="AT54:AU54" si="77">AT56-AT52</f>
        <v>-86.165000000000077</v>
      </c>
      <c r="AU54" s="281">
        <f t="shared" si="77"/>
        <v>-188.09499999999997</v>
      </c>
      <c r="AX54" s="43" t="s">
        <v>147</v>
      </c>
      <c r="BA54" s="44"/>
      <c r="BC54" s="411"/>
      <c r="BF54" s="309"/>
      <c r="BG54" s="309"/>
      <c r="BH54" s="309"/>
      <c r="BI54" s="309"/>
      <c r="BJ54" s="44"/>
      <c r="BK54" s="44"/>
      <c r="BL54" s="44"/>
      <c r="BM54" s="44"/>
      <c r="BN54" s="44"/>
      <c r="BO54" s="44"/>
    </row>
    <row r="55" spans="1:71" s="134" customFormat="1" ht="18.75" customHeight="1" x14ac:dyDescent="0.25">
      <c r="A55" s="265"/>
      <c r="B55" s="26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211">
        <f>-AJ54/AJ$52</f>
        <v>0.1757352903414664</v>
      </c>
      <c r="AK55" s="211">
        <f>-AK54/AK$52</f>
        <v>0.12772915879966701</v>
      </c>
      <c r="AL55" s="211">
        <f>-AL54/AL$52</f>
        <v>0.27503661065116225</v>
      </c>
      <c r="AM55" s="211">
        <f t="shared" ref="AM55:AO55" si="78">-AM54/AM$52</f>
        <v>0.39970804989289965</v>
      </c>
      <c r="AN55" s="211">
        <f t="shared" si="78"/>
        <v>0.1923398522785339</v>
      </c>
      <c r="AO55" s="211">
        <f t="shared" si="78"/>
        <v>0.1402244425814855</v>
      </c>
      <c r="AP55" s="211">
        <f>-AP54/AP$52</f>
        <v>0.20112087194209949</v>
      </c>
      <c r="AQ55" s="211">
        <f>-AQ54/AQ$52</f>
        <v>0.113764439744602</v>
      </c>
      <c r="AR55" s="211">
        <f t="shared" ref="AR55:AS55" si="79">-AR54/AR$52</f>
        <v>0.14131728468270682</v>
      </c>
      <c r="AS55" s="211">
        <f t="shared" si="79"/>
        <v>0.19840121933106544</v>
      </c>
      <c r="AT55" s="211">
        <f t="shared" ref="AT55" si="80">-AT54/AT$52</f>
        <v>0.19266631486682306</v>
      </c>
      <c r="AU55" s="211">
        <f>-AU54/AU$52</f>
        <v>0.41434267336329178</v>
      </c>
      <c r="AY55" s="304"/>
      <c r="AZ55" s="393"/>
      <c r="BA55" s="44"/>
      <c r="BB55" s="304"/>
      <c r="BC55" s="413"/>
      <c r="BD55" s="304"/>
      <c r="BE55" s="304"/>
      <c r="BF55" s="309"/>
      <c r="BG55" s="309"/>
      <c r="BH55" s="309"/>
      <c r="BI55" s="309"/>
      <c r="BJ55" s="44"/>
      <c r="BK55" s="44"/>
      <c r="BL55" s="44"/>
      <c r="BM55" s="44"/>
      <c r="BN55" s="44"/>
      <c r="BO55" s="44"/>
    </row>
    <row r="56" spans="1:71" ht="18.75" customHeight="1" x14ac:dyDescent="0.3">
      <c r="A56" s="92" t="s">
        <v>72</v>
      </c>
      <c r="B56" s="92"/>
      <c r="C56" s="93"/>
      <c r="D56" s="258">
        <f>D52+D54</f>
        <v>316</v>
      </c>
      <c r="E56" s="258">
        <f t="shared" ref="E56:U56" si="81">E52+E54</f>
        <v>354</v>
      </c>
      <c r="F56" s="258">
        <f t="shared" si="81"/>
        <v>246</v>
      </c>
      <c r="G56" s="258">
        <f t="shared" si="81"/>
        <v>116</v>
      </c>
      <c r="H56" s="258">
        <f t="shared" si="81"/>
        <v>380</v>
      </c>
      <c r="I56" s="258">
        <f t="shared" si="81"/>
        <v>-863</v>
      </c>
      <c r="J56" s="258">
        <f t="shared" si="81"/>
        <v>-419</v>
      </c>
      <c r="K56" s="258">
        <f t="shared" si="81"/>
        <v>11</v>
      </c>
      <c r="L56" s="258">
        <f t="shared" si="81"/>
        <v>-758</v>
      </c>
      <c r="M56" s="258">
        <f t="shared" si="81"/>
        <v>-93</v>
      </c>
      <c r="N56" s="258">
        <f t="shared" si="81"/>
        <v>344</v>
      </c>
      <c r="O56" s="258">
        <f t="shared" si="81"/>
        <v>482</v>
      </c>
      <c r="P56" s="258">
        <f t="shared" si="81"/>
        <v>171</v>
      </c>
      <c r="Q56" s="258">
        <f t="shared" si="81"/>
        <v>54</v>
      </c>
      <c r="R56" s="258">
        <f t="shared" si="81"/>
        <v>-65</v>
      </c>
      <c r="S56" s="258">
        <f t="shared" si="81"/>
        <v>214</v>
      </c>
      <c r="T56" s="258">
        <f t="shared" si="81"/>
        <v>46</v>
      </c>
      <c r="U56" s="258">
        <f t="shared" si="81"/>
        <v>97</v>
      </c>
      <c r="V56" s="258">
        <f>V52+V54</f>
        <v>95</v>
      </c>
      <c r="W56" s="258">
        <f>375-V56-U56-T56</f>
        <v>137</v>
      </c>
      <c r="X56" s="275">
        <v>15</v>
      </c>
      <c r="Y56" s="258">
        <f>-82-X56</f>
        <v>-97</v>
      </c>
      <c r="Z56" s="258">
        <f>+Z52+Z54</f>
        <v>-64</v>
      </c>
      <c r="AA56" s="275">
        <v>-3152</v>
      </c>
      <c r="AB56" s="275">
        <v>57</v>
      </c>
      <c r="AC56" s="275">
        <v>225</v>
      </c>
      <c r="AD56" s="275">
        <v>216</v>
      </c>
      <c r="AE56" s="275">
        <v>214</v>
      </c>
      <c r="AF56" s="275">
        <v>1520</v>
      </c>
      <c r="AG56" s="275">
        <v>224</v>
      </c>
      <c r="AH56" s="275">
        <v>331</v>
      </c>
      <c r="AI56" s="275">
        <v>-1703</v>
      </c>
      <c r="AJ56" s="275">
        <v>321</v>
      </c>
      <c r="AK56" s="275">
        <v>395</v>
      </c>
      <c r="AL56" s="275">
        <v>300</v>
      </c>
      <c r="AM56" s="275">
        <v>271</v>
      </c>
      <c r="AN56" s="275">
        <v>139.09200000000001</v>
      </c>
      <c r="AO56" s="258">
        <f>617.012-AN56</f>
        <v>477.91999999999996</v>
      </c>
      <c r="AP56" s="258">
        <f>988.772-AO56-AN56</f>
        <v>371.7600000000001</v>
      </c>
      <c r="AQ56" s="258">
        <f>1121.188-AP56-AO56-AN56</f>
        <v>132.41600000000003</v>
      </c>
      <c r="AR56" s="275">
        <v>204.17500000000001</v>
      </c>
      <c r="AS56" s="275">
        <f>657.524-AR56</f>
        <v>453.34899999999999</v>
      </c>
      <c r="AT56" s="275">
        <f>1018.583-AS56-AR56</f>
        <v>361.05899999999991</v>
      </c>
      <c r="AU56" s="258">
        <f>1284.448-AT56-AS56-AR56</f>
        <v>265.86500000000012</v>
      </c>
      <c r="AV56" s="94"/>
      <c r="AW56" s="36"/>
      <c r="AX56" s="43" t="s">
        <v>147</v>
      </c>
      <c r="AZ56" s="391" cm="1">
        <f t="array" ref="AZ56">_xll.VAData("EXCL_IJ", "4QFY-2023", "Net income/(loss)", "Consensus", "CD", "IMPL","","")</f>
        <v>313.42008211319023</v>
      </c>
      <c r="BA56" s="280">
        <f>AU56/AZ56-1</f>
        <v>-0.15172953115370513</v>
      </c>
      <c r="BC56" s="410">
        <f>SUM(AN56:AQ56)</f>
        <v>1121.1880000000001</v>
      </c>
      <c r="BD56" s="303">
        <f>SUM(AR56:AU56)</f>
        <v>1284.4479999999999</v>
      </c>
      <c r="BE56" s="404">
        <f>BD56/BC56-1</f>
        <v>0.14561340292618175</v>
      </c>
      <c r="BF56" s="309"/>
      <c r="BG56" s="309"/>
      <c r="BH56" s="298"/>
      <c r="BI56" s="299"/>
      <c r="BJ56" s="44"/>
      <c r="BK56" s="44"/>
      <c r="BL56" s="44"/>
      <c r="BM56" s="44"/>
      <c r="BN56" s="44"/>
      <c r="BO56" s="44"/>
    </row>
    <row r="57" spans="1:71" ht="18.75" customHeight="1" x14ac:dyDescent="0.25">
      <c r="A57" s="95" t="s">
        <v>80</v>
      </c>
      <c r="B57" s="95"/>
      <c r="C57" s="87"/>
      <c r="D57" s="276">
        <v>316</v>
      </c>
      <c r="E57" s="276">
        <v>354</v>
      </c>
      <c r="F57" s="276">
        <v>246</v>
      </c>
      <c r="G57" s="276">
        <v>116</v>
      </c>
      <c r="H57" s="276">
        <v>380</v>
      </c>
      <c r="I57" s="276">
        <v>-863</v>
      </c>
      <c r="J57" s="276">
        <v>-419</v>
      </c>
      <c r="K57" s="276">
        <v>11</v>
      </c>
      <c r="L57" s="276">
        <v>-34</v>
      </c>
      <c r="M57" s="256">
        <f>84-L57</f>
        <v>118</v>
      </c>
      <c r="N57" s="256">
        <f>74-M57-L57</f>
        <v>-10</v>
      </c>
      <c r="O57" s="256">
        <f>51-N57-M57-L57</f>
        <v>-23</v>
      </c>
      <c r="P57" s="276">
        <v>-159</v>
      </c>
      <c r="Q57" s="256">
        <f>-141-P57</f>
        <v>18</v>
      </c>
      <c r="R57" s="256">
        <f>-85-Q57-P57</f>
        <v>56</v>
      </c>
      <c r="S57" s="256">
        <f>-209-R57-Q57-P57</f>
        <v>-124</v>
      </c>
      <c r="T57" s="276">
        <v>20</v>
      </c>
      <c r="U57" s="256">
        <f>114-T57</f>
        <v>94</v>
      </c>
      <c r="V57" s="256">
        <f>338-U57-T57</f>
        <v>224</v>
      </c>
      <c r="W57" s="256">
        <f>740-V57-U57-T57</f>
        <v>402</v>
      </c>
      <c r="X57" s="276">
        <v>21</v>
      </c>
      <c r="Y57" s="256">
        <f>-64-X57</f>
        <v>-85</v>
      </c>
      <c r="Z57" s="256">
        <f>-91-Y57-X57</f>
        <v>-27</v>
      </c>
      <c r="AA57" s="276">
        <v>58</v>
      </c>
      <c r="AB57" s="276">
        <v>69</v>
      </c>
      <c r="AC57" s="276">
        <v>223</v>
      </c>
      <c r="AD57" s="276">
        <v>214</v>
      </c>
      <c r="AE57" s="276">
        <v>214</v>
      </c>
      <c r="AF57" s="276">
        <v>113</v>
      </c>
      <c r="AG57" s="256">
        <f>257-AF57</f>
        <v>144</v>
      </c>
      <c r="AH57" s="276">
        <v>331</v>
      </c>
      <c r="AI57" s="276">
        <v>166</v>
      </c>
      <c r="AJ57" s="276">
        <v>230</v>
      </c>
      <c r="AK57" s="276">
        <v>333</v>
      </c>
      <c r="AL57" s="276">
        <v>272</v>
      </c>
      <c r="AM57" s="276">
        <v>269</v>
      </c>
      <c r="AN57" s="276">
        <v>171</v>
      </c>
      <c r="AO57" s="276">
        <f>477-31</f>
        <v>446</v>
      </c>
      <c r="AP57" s="256">
        <f t="shared" ref="AP57:AU57" si="82">AP56</f>
        <v>371.7600000000001</v>
      </c>
      <c r="AQ57" s="256">
        <f t="shared" si="82"/>
        <v>132.41600000000003</v>
      </c>
      <c r="AR57" s="256">
        <f t="shared" si="82"/>
        <v>204.17500000000001</v>
      </c>
      <c r="AS57" s="256">
        <f t="shared" si="82"/>
        <v>453.34899999999999</v>
      </c>
      <c r="AT57" s="256">
        <f t="shared" si="82"/>
        <v>361.05899999999991</v>
      </c>
      <c r="AU57" s="256">
        <f t="shared" si="82"/>
        <v>265.86500000000012</v>
      </c>
      <c r="AX57" s="64"/>
      <c r="AY57" s="305"/>
      <c r="BA57" s="44"/>
      <c r="BC57" s="411"/>
      <c r="BF57" s="309"/>
      <c r="BG57" s="309"/>
      <c r="BH57" s="309"/>
      <c r="BI57" s="309"/>
      <c r="BJ57" s="44"/>
      <c r="BK57" s="44"/>
      <c r="BL57" s="44"/>
      <c r="BM57" s="44"/>
      <c r="BN57" s="44"/>
      <c r="BO57" s="44"/>
    </row>
    <row r="58" spans="1:71" ht="18.75" customHeight="1" x14ac:dyDescent="0.25">
      <c r="A58" s="37"/>
      <c r="B58" s="37"/>
      <c r="C58" s="87"/>
      <c r="D58" s="87"/>
      <c r="E58" s="254"/>
      <c r="F58" s="254"/>
      <c r="G58" s="254"/>
      <c r="H58" s="254"/>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9"/>
      <c r="AG58" s="259"/>
      <c r="AH58" s="259"/>
      <c r="AI58" s="259"/>
      <c r="AJ58" s="259"/>
      <c r="AK58" s="259"/>
      <c r="AL58" s="259">
        <f t="shared" ref="AL58:AU58" si="83">AL57/AH57-1</f>
        <v>-0.17824773413897277</v>
      </c>
      <c r="AM58" s="259">
        <f t="shared" si="83"/>
        <v>0.62048192771084332</v>
      </c>
      <c r="AN58" s="259">
        <f t="shared" si="83"/>
        <v>-0.25652173913043474</v>
      </c>
      <c r="AO58" s="259">
        <f t="shared" si="83"/>
        <v>0.33933933933933935</v>
      </c>
      <c r="AP58" s="259">
        <f t="shared" si="83"/>
        <v>0.36676470588235333</v>
      </c>
      <c r="AQ58" s="259">
        <f t="shared" si="83"/>
        <v>-0.50774721189591077</v>
      </c>
      <c r="AR58" s="259">
        <f t="shared" si="83"/>
        <v>0.19400584795321651</v>
      </c>
      <c r="AS58" s="259">
        <f t="shared" si="83"/>
        <v>1.6477578475336374E-2</v>
      </c>
      <c r="AT58" s="259">
        <f t="shared" si="83"/>
        <v>-2.8784699806327141E-2</v>
      </c>
      <c r="AU58" s="259">
        <f t="shared" si="83"/>
        <v>1.0078011720637994</v>
      </c>
      <c r="BA58" s="44"/>
      <c r="BF58" s="309"/>
      <c r="BG58" s="309"/>
      <c r="BH58" s="309"/>
      <c r="BI58" s="309"/>
      <c r="BJ58" s="44"/>
      <c r="BK58" s="44"/>
      <c r="BL58" s="44"/>
      <c r="BM58" s="44"/>
      <c r="BN58" s="44"/>
      <c r="BO58" s="44"/>
    </row>
    <row r="59" spans="1:71" s="36" customFormat="1" x14ac:dyDescent="0.25">
      <c r="A59" s="33" t="s">
        <v>169</v>
      </c>
      <c r="B59" s="33"/>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96"/>
      <c r="AH59" s="34"/>
      <c r="AI59" s="34"/>
      <c r="AJ59" s="34"/>
      <c r="AK59" s="34"/>
      <c r="AL59" s="34"/>
      <c r="AM59" s="34"/>
      <c r="AN59" s="34"/>
      <c r="AO59" s="34"/>
      <c r="AP59" s="34"/>
      <c r="AQ59" s="34"/>
      <c r="AR59" s="34"/>
      <c r="AS59" s="34"/>
      <c r="AT59" s="34"/>
      <c r="AU59" s="34"/>
      <c r="AV59" s="33"/>
      <c r="AW59" s="33"/>
      <c r="AY59" s="294"/>
      <c r="AZ59" s="392"/>
      <c r="BA59" s="35"/>
      <c r="BB59" s="294"/>
      <c r="BC59" s="408"/>
      <c r="BD59" s="294"/>
      <c r="BE59" s="294"/>
      <c r="BF59" s="294"/>
      <c r="BG59" s="294"/>
      <c r="BH59" s="294"/>
      <c r="BI59" s="294"/>
    </row>
    <row r="60" spans="1:71" x14ac:dyDescent="0.25">
      <c r="A60" s="97" t="s">
        <v>178</v>
      </c>
      <c r="B60" s="97"/>
      <c r="C60" s="98"/>
      <c r="D60" s="277">
        <v>861</v>
      </c>
      <c r="E60" s="277">
        <v>920</v>
      </c>
      <c r="F60" s="277">
        <v>1013</v>
      </c>
      <c r="G60" s="277">
        <v>1066</v>
      </c>
      <c r="H60" s="277">
        <v>1122</v>
      </c>
      <c r="I60" s="277">
        <v>1425</v>
      </c>
      <c r="J60" s="277">
        <v>1451</v>
      </c>
      <c r="K60" s="277">
        <v>1466</v>
      </c>
      <c r="L60" s="277">
        <v>1447</v>
      </c>
      <c r="M60" s="277">
        <v>1468</v>
      </c>
      <c r="N60" s="277">
        <v>1536</v>
      </c>
      <c r="O60" s="277">
        <v>1765</v>
      </c>
      <c r="P60" s="277">
        <v>1782</v>
      </c>
      <c r="Q60" s="277">
        <v>1786</v>
      </c>
      <c r="R60" s="277">
        <v>2123</v>
      </c>
      <c r="S60" s="277">
        <v>2436</v>
      </c>
      <c r="T60" s="277">
        <v>2650</v>
      </c>
      <c r="U60" s="277">
        <v>3164</v>
      </c>
      <c r="V60" s="277">
        <v>3517</v>
      </c>
      <c r="W60" s="99">
        <f>13088-V60-U60-T60</f>
        <v>3757</v>
      </c>
      <c r="X60" s="277">
        <v>3462</v>
      </c>
      <c r="Y60" s="99">
        <f>6989-X60</f>
        <v>3527</v>
      </c>
      <c r="Z60" s="277">
        <v>3985</v>
      </c>
      <c r="AA60" s="277">
        <v>4362</v>
      </c>
      <c r="AB60" s="277">
        <v>4636</v>
      </c>
      <c r="AC60" s="277">
        <v>4997</v>
      </c>
      <c r="AD60" s="277">
        <v>5308</v>
      </c>
      <c r="AE60" s="277">
        <v>5313</v>
      </c>
      <c r="AF60" s="277">
        <v>5429</v>
      </c>
      <c r="AG60" s="277">
        <v>5659</v>
      </c>
      <c r="AH60" s="277">
        <v>5684</v>
      </c>
      <c r="AI60" s="277">
        <v>5432</v>
      </c>
      <c r="AJ60" s="277">
        <v>5392</v>
      </c>
      <c r="AK60" s="277">
        <v>5896</v>
      </c>
      <c r="AL60" s="277">
        <v>6014</v>
      </c>
      <c r="AM60" s="277">
        <v>6107</v>
      </c>
      <c r="AN60" s="277">
        <v>5910</v>
      </c>
      <c r="AO60" s="277">
        <v>6643</v>
      </c>
      <c r="AP60" s="277">
        <v>6846</v>
      </c>
      <c r="AQ60" s="277">
        <v>6836</v>
      </c>
      <c r="AR60" s="277">
        <v>6910</v>
      </c>
      <c r="AS60" s="277">
        <v>7501</v>
      </c>
      <c r="AT60" s="277">
        <f>AT21</f>
        <v>7311</v>
      </c>
      <c r="AU60" s="277">
        <f>AU21</f>
        <v>7680</v>
      </c>
      <c r="AX60" s="70" t="s">
        <v>377</v>
      </c>
      <c r="AY60" s="317"/>
      <c r="BA60" s="44"/>
    </row>
    <row r="61" spans="1:71" x14ac:dyDescent="0.25">
      <c r="A61" s="97" t="s">
        <v>180</v>
      </c>
      <c r="B61" s="97"/>
      <c r="C61" s="98"/>
      <c r="D61" s="277">
        <v>3751</v>
      </c>
      <c r="E61" s="277">
        <v>3987</v>
      </c>
      <c r="F61" s="277">
        <v>4202</v>
      </c>
      <c r="G61" s="277">
        <v>4152</v>
      </c>
      <c r="H61" s="277">
        <v>3122</v>
      </c>
      <c r="I61" s="277">
        <v>3483</v>
      </c>
      <c r="J61" s="277">
        <v>3452</v>
      </c>
      <c r="K61" s="277">
        <v>3387</v>
      </c>
      <c r="L61" s="277">
        <v>3095</v>
      </c>
      <c r="M61" s="277">
        <v>3217</v>
      </c>
      <c r="N61" s="277">
        <v>3398</v>
      </c>
      <c r="O61" s="277">
        <v>3267</v>
      </c>
      <c r="P61" s="277">
        <v>2999</v>
      </c>
      <c r="Q61" s="277">
        <v>2683</v>
      </c>
      <c r="R61" s="277">
        <v>2416</v>
      </c>
      <c r="S61" s="277">
        <v>2149</v>
      </c>
      <c r="T61" s="277">
        <v>1949</v>
      </c>
      <c r="U61" s="277">
        <v>1862</v>
      </c>
      <c r="V61" s="277">
        <v>1763</v>
      </c>
      <c r="W61" s="99">
        <f>7355-V61-U61-T61</f>
        <v>1781</v>
      </c>
      <c r="X61" s="277">
        <v>1391</v>
      </c>
      <c r="Y61" s="99">
        <f>2706-X61</f>
        <v>1315</v>
      </c>
      <c r="Z61" s="277">
        <v>1014</v>
      </c>
      <c r="AA61" s="277">
        <v>930</v>
      </c>
      <c r="AB61" s="277">
        <v>751</v>
      </c>
      <c r="AC61" s="277">
        <v>681</v>
      </c>
      <c r="AD61" s="277">
        <v>609</v>
      </c>
      <c r="AE61" s="277">
        <v>547</v>
      </c>
      <c r="AF61" s="99">
        <f t="shared" ref="AF61:AT61" si="84">AF13-AF60</f>
        <v>578.19400000000041</v>
      </c>
      <c r="AG61" s="99">
        <f t="shared" si="84"/>
        <v>520.22099999999955</v>
      </c>
      <c r="AH61" s="99">
        <f t="shared" si="84"/>
        <v>465.04100000000017</v>
      </c>
      <c r="AI61" s="99">
        <f t="shared" si="84"/>
        <v>445.29899999999998</v>
      </c>
      <c r="AJ61" s="99">
        <f t="shared" si="84"/>
        <v>395.55000000000018</v>
      </c>
      <c r="AK61" s="99">
        <f t="shared" si="84"/>
        <v>383.57300000000032</v>
      </c>
      <c r="AL61" s="99">
        <f t="shared" si="84"/>
        <v>325.80799999999999</v>
      </c>
      <c r="AM61" s="99">
        <f t="shared" si="84"/>
        <v>292.60300000000007</v>
      </c>
      <c r="AN61" s="99">
        <f t="shared" si="84"/>
        <v>571.94200000000001</v>
      </c>
      <c r="AO61" s="99">
        <f t="shared" si="84"/>
        <v>272.73499999999967</v>
      </c>
      <c r="AP61" s="99">
        <f t="shared" si="84"/>
        <v>260.44899999999961</v>
      </c>
      <c r="AQ61" s="99">
        <f t="shared" si="84"/>
        <v>467.93099999999959</v>
      </c>
      <c r="AR61" s="99">
        <f t="shared" si="84"/>
        <v>385.36899999999969</v>
      </c>
      <c r="AS61" s="99">
        <f t="shared" si="84"/>
        <v>384.44200000000001</v>
      </c>
      <c r="AT61" s="99">
        <f t="shared" si="84"/>
        <v>367.33000000000084</v>
      </c>
      <c r="AU61" s="99">
        <f t="shared" ref="AU61" si="85">AU13-AU60</f>
        <v>368.08799999999883</v>
      </c>
      <c r="AV61" s="85"/>
      <c r="AW61" s="64"/>
      <c r="BA61" s="44"/>
    </row>
    <row r="62" spans="1:71" x14ac:dyDescent="0.25">
      <c r="A62" s="97" t="s">
        <v>74</v>
      </c>
      <c r="B62" s="97"/>
      <c r="C62" s="98"/>
      <c r="D62" s="277">
        <v>749</v>
      </c>
      <c r="E62" s="277">
        <v>773</v>
      </c>
      <c r="F62" s="277">
        <v>770</v>
      </c>
      <c r="G62" s="277">
        <v>741</v>
      </c>
      <c r="H62" s="277">
        <v>783</v>
      </c>
      <c r="I62" s="277">
        <v>773</v>
      </c>
      <c r="J62" s="277">
        <v>761</v>
      </c>
      <c r="K62" s="277">
        <v>690</v>
      </c>
      <c r="L62" s="277">
        <v>642</v>
      </c>
      <c r="M62" s="277">
        <v>614</v>
      </c>
      <c r="N62" s="277">
        <v>581</v>
      </c>
      <c r="O62" s="277">
        <v>548</v>
      </c>
      <c r="P62" s="277">
        <v>481</v>
      </c>
      <c r="Q62" s="277">
        <v>435</v>
      </c>
      <c r="R62" s="277">
        <v>425</v>
      </c>
      <c r="S62" s="277">
        <v>403</v>
      </c>
      <c r="T62" s="277">
        <v>369</v>
      </c>
      <c r="U62" s="277">
        <v>347</v>
      </c>
      <c r="V62" s="277">
        <v>333</v>
      </c>
      <c r="W62" s="99">
        <f>1383-V62-U62-T62</f>
        <v>334</v>
      </c>
      <c r="X62" s="277">
        <v>311</v>
      </c>
      <c r="Y62" s="99">
        <f>638-X62</f>
        <v>327</v>
      </c>
      <c r="Z62" s="277">
        <v>615</v>
      </c>
      <c r="AA62" s="277">
        <v>534</v>
      </c>
      <c r="AB62" s="277">
        <v>371</v>
      </c>
      <c r="AC62" s="277">
        <v>372</v>
      </c>
      <c r="AD62" s="277">
        <v>331</v>
      </c>
      <c r="AE62" s="277">
        <v>325</v>
      </c>
      <c r="AF62" s="148">
        <f>803.847+67+51-AF61</f>
        <v>343.65299999999957</v>
      </c>
      <c r="AG62" s="148">
        <f>738.269+25.8+44.5-AG61</f>
        <v>288.34800000000041</v>
      </c>
      <c r="AH62" s="148">
        <f>2242.65-1542.116+141.004-93.116+104.413-96.077-AH61</f>
        <v>291.71699999999998</v>
      </c>
      <c r="AI62" s="148">
        <f>2827.282-2242.65+195.695-141.004+126.641-104.413-AI61</f>
        <v>216.25199999999995</v>
      </c>
      <c r="AJ62" s="101"/>
      <c r="AK62" s="101"/>
      <c r="AL62" s="101"/>
      <c r="AM62" s="101"/>
      <c r="AN62" s="101"/>
      <c r="AO62" s="101"/>
      <c r="AP62" s="101"/>
      <c r="AQ62" s="101"/>
      <c r="AR62" s="101"/>
      <c r="AS62" s="101"/>
      <c r="AT62" s="101"/>
      <c r="AU62" s="101"/>
      <c r="AW62" s="64"/>
      <c r="BA62" s="44"/>
    </row>
    <row r="63" spans="1:71" x14ac:dyDescent="0.25">
      <c r="A63" s="102" t="s">
        <v>187</v>
      </c>
      <c r="B63" s="102"/>
      <c r="C63" s="103"/>
      <c r="D63" s="104">
        <f t="shared" ref="D63:V63" si="86">D15-D62</f>
        <v>62</v>
      </c>
      <c r="E63" s="104">
        <f t="shared" si="86"/>
        <v>44</v>
      </c>
      <c r="F63" s="104">
        <f t="shared" si="86"/>
        <v>54</v>
      </c>
      <c r="G63" s="104">
        <f t="shared" si="86"/>
        <v>48</v>
      </c>
      <c r="H63" s="104">
        <f t="shared" si="86"/>
        <v>48</v>
      </c>
      <c r="I63" s="104">
        <f t="shared" si="86"/>
        <v>49</v>
      </c>
      <c r="J63" s="104">
        <f t="shared" si="86"/>
        <v>63</v>
      </c>
      <c r="K63" s="104">
        <f t="shared" si="86"/>
        <v>37</v>
      </c>
      <c r="L63" s="104">
        <f t="shared" si="86"/>
        <v>65</v>
      </c>
      <c r="M63" s="104">
        <f t="shared" si="86"/>
        <v>69</v>
      </c>
      <c r="N63" s="104">
        <f t="shared" si="86"/>
        <v>76</v>
      </c>
      <c r="O63" s="104">
        <f t="shared" si="86"/>
        <v>50</v>
      </c>
      <c r="P63" s="104">
        <f t="shared" si="86"/>
        <v>51</v>
      </c>
      <c r="Q63" s="104">
        <f t="shared" si="86"/>
        <v>65</v>
      </c>
      <c r="R63" s="104">
        <f t="shared" si="86"/>
        <v>67</v>
      </c>
      <c r="S63" s="104">
        <f t="shared" si="86"/>
        <v>32</v>
      </c>
      <c r="T63" s="104">
        <f t="shared" si="86"/>
        <v>71</v>
      </c>
      <c r="U63" s="104">
        <f t="shared" si="86"/>
        <v>73</v>
      </c>
      <c r="V63" s="104">
        <f t="shared" si="86"/>
        <v>76</v>
      </c>
      <c r="W63" s="104">
        <f t="shared" ref="W63:AE63" si="87">(W13+W15)-SUM(W60:W62)</f>
        <v>-125</v>
      </c>
      <c r="X63" s="104">
        <f t="shared" si="87"/>
        <v>0.31300000000010186</v>
      </c>
      <c r="Y63" s="104">
        <f t="shared" si="87"/>
        <v>0.45800000000053842</v>
      </c>
      <c r="Z63" s="104">
        <f t="shared" si="87"/>
        <v>-210.05199999999968</v>
      </c>
      <c r="AA63" s="104">
        <f t="shared" si="87"/>
        <v>-160.23199999999997</v>
      </c>
      <c r="AB63" s="104">
        <f t="shared" si="87"/>
        <v>-57.108000000000175</v>
      </c>
      <c r="AC63" s="104">
        <f t="shared" si="87"/>
        <v>-61.795000000000073</v>
      </c>
      <c r="AD63" s="104">
        <f t="shared" si="87"/>
        <v>-26.050000000000182</v>
      </c>
      <c r="AE63" s="104">
        <f t="shared" si="87"/>
        <v>-32.77599999999984</v>
      </c>
      <c r="AF63" s="105">
        <f>AF15-AF62</f>
        <v>-93.060999999999552</v>
      </c>
      <c r="AG63" s="105">
        <f>AG15-AG62</f>
        <v>-110.21800000000042</v>
      </c>
      <c r="AH63" s="105">
        <f t="shared" ref="AH63:AT63" si="88">(AH13+AH15)-SUM(AH60:AH62)</f>
        <v>-113.97899999999936</v>
      </c>
      <c r="AI63" s="105">
        <f t="shared" si="88"/>
        <v>-49.425999999999476</v>
      </c>
      <c r="AJ63" s="105">
        <f t="shared" si="88"/>
        <v>154.67500000000018</v>
      </c>
      <c r="AK63" s="105">
        <f t="shared" si="88"/>
        <v>153.79299999999967</v>
      </c>
      <c r="AL63" s="105">
        <f t="shared" si="88"/>
        <v>152.13400000000001</v>
      </c>
      <c r="AM63" s="105">
        <f t="shared" si="88"/>
        <v>161.03399999999965</v>
      </c>
      <c r="AN63" s="105">
        <f t="shared" si="88"/>
        <v>126.27800000000025</v>
      </c>
      <c r="AO63" s="105">
        <f t="shared" si="88"/>
        <v>538.03499999999985</v>
      </c>
      <c r="AP63" s="105">
        <f t="shared" si="88"/>
        <v>342.1220000000003</v>
      </c>
      <c r="AQ63" s="105">
        <f t="shared" si="88"/>
        <v>358.51199999999972</v>
      </c>
      <c r="AR63" s="105">
        <f t="shared" si="88"/>
        <v>255.10400000000027</v>
      </c>
      <c r="AS63" s="105">
        <f t="shared" si="88"/>
        <v>337.09800000000087</v>
      </c>
      <c r="AT63" s="105">
        <f t="shared" si="88"/>
        <v>428.73099999999977</v>
      </c>
      <c r="AU63" s="105">
        <f t="shared" ref="AU63" si="89">(AU13+AU15)-SUM(AU60:AU62)</f>
        <v>409.00000000000091</v>
      </c>
      <c r="BA63" s="44"/>
    </row>
    <row r="64" spans="1:71" x14ac:dyDescent="0.25">
      <c r="A64" s="106" t="s">
        <v>181</v>
      </c>
      <c r="B64" s="106"/>
      <c r="C64" s="107"/>
      <c r="D64" s="108">
        <f>SUM(D60:D63)</f>
        <v>5423</v>
      </c>
      <c r="E64" s="108">
        <f t="shared" ref="E64:AC64" si="90">SUM(E60:E63)</f>
        <v>5724</v>
      </c>
      <c r="F64" s="108">
        <f t="shared" si="90"/>
        <v>6039</v>
      </c>
      <c r="G64" s="108">
        <f t="shared" si="90"/>
        <v>6007</v>
      </c>
      <c r="H64" s="108">
        <f t="shared" si="90"/>
        <v>5075</v>
      </c>
      <c r="I64" s="108">
        <f t="shared" si="90"/>
        <v>5730</v>
      </c>
      <c r="J64" s="108">
        <f t="shared" si="90"/>
        <v>5727</v>
      </c>
      <c r="K64" s="108">
        <f t="shared" si="90"/>
        <v>5580</v>
      </c>
      <c r="L64" s="108">
        <f t="shared" si="90"/>
        <v>5249</v>
      </c>
      <c r="M64" s="108">
        <f t="shared" si="90"/>
        <v>5368</v>
      </c>
      <c r="N64" s="108">
        <f t="shared" si="90"/>
        <v>5591</v>
      </c>
      <c r="O64" s="108">
        <f t="shared" si="90"/>
        <v>5630</v>
      </c>
      <c r="P64" s="108">
        <f t="shared" si="90"/>
        <v>5313</v>
      </c>
      <c r="Q64" s="108">
        <f t="shared" si="90"/>
        <v>4969</v>
      </c>
      <c r="R64" s="108">
        <f t="shared" si="90"/>
        <v>5031</v>
      </c>
      <c r="S64" s="108">
        <f t="shared" si="90"/>
        <v>5020</v>
      </c>
      <c r="T64" s="108">
        <f t="shared" si="90"/>
        <v>5039</v>
      </c>
      <c r="U64" s="108">
        <f t="shared" si="90"/>
        <v>5446</v>
      </c>
      <c r="V64" s="108">
        <f t="shared" si="90"/>
        <v>5689</v>
      </c>
      <c r="W64" s="108">
        <f t="shared" si="90"/>
        <v>5747</v>
      </c>
      <c r="X64" s="108">
        <f t="shared" si="90"/>
        <v>5164.3130000000001</v>
      </c>
      <c r="Y64" s="108">
        <f t="shared" si="90"/>
        <v>5169.4580000000005</v>
      </c>
      <c r="Z64" s="108">
        <f t="shared" si="90"/>
        <v>5403.9480000000003</v>
      </c>
      <c r="AA64" s="108">
        <f t="shared" si="90"/>
        <v>5665.768</v>
      </c>
      <c r="AB64" s="108">
        <f t="shared" si="90"/>
        <v>5700.8919999999998</v>
      </c>
      <c r="AC64" s="108">
        <f t="shared" si="90"/>
        <v>5988.2049999999999</v>
      </c>
      <c r="AD64" s="108">
        <f t="shared" ref="AD64:AI64" si="91">SUM(AD60:AD63)</f>
        <v>6221.95</v>
      </c>
      <c r="AE64" s="108">
        <f t="shared" si="91"/>
        <v>6152.2240000000002</v>
      </c>
      <c r="AF64" s="108">
        <f t="shared" si="91"/>
        <v>6257.7860000000001</v>
      </c>
      <c r="AG64" s="108">
        <f t="shared" si="91"/>
        <v>6357.3509999999987</v>
      </c>
      <c r="AH64" s="108">
        <f t="shared" si="91"/>
        <v>6326.7790000000005</v>
      </c>
      <c r="AI64" s="108">
        <f t="shared" si="91"/>
        <v>6044.125</v>
      </c>
      <c r="AJ64" s="108">
        <f t="shared" ref="AJ64:AK64" si="92">SUM(AJ60:AJ63)</f>
        <v>5942.2250000000004</v>
      </c>
      <c r="AK64" s="108">
        <f t="shared" si="92"/>
        <v>6433.366</v>
      </c>
      <c r="AL64" s="108">
        <f t="shared" ref="AL64:AM64" si="93">SUM(AL60:AL63)</f>
        <v>6491.942</v>
      </c>
      <c r="AM64" s="108">
        <f t="shared" si="93"/>
        <v>6560.6369999999997</v>
      </c>
      <c r="AN64" s="108">
        <f t="shared" ref="AN64:AO64" si="94">SUM(AN60:AN63)</f>
        <v>6608.22</v>
      </c>
      <c r="AO64" s="108">
        <f t="shared" si="94"/>
        <v>7453.7699999999995</v>
      </c>
      <c r="AP64" s="108">
        <f>SUM(AP60:AP63)</f>
        <v>7448.5709999999999</v>
      </c>
      <c r="AQ64" s="108">
        <f>SUM(AQ60:AQ63)</f>
        <v>7662.4429999999993</v>
      </c>
      <c r="AR64" s="108">
        <f t="shared" ref="AR64:AS64" si="95">SUM(AR60:AR63)</f>
        <v>7550.473</v>
      </c>
      <c r="AS64" s="108">
        <f t="shared" si="95"/>
        <v>8222.5400000000009</v>
      </c>
      <c r="AT64" s="108">
        <f t="shared" ref="AT64" si="96">SUM(AT60:AT63)</f>
        <v>8107.0610000000006</v>
      </c>
      <c r="AU64" s="108">
        <f>SUM(AU60:AU63)</f>
        <v>8457.0879999999997</v>
      </c>
      <c r="AV64" s="109"/>
      <c r="AW64" s="36"/>
      <c r="BA64" s="44"/>
    </row>
    <row r="65" spans="1:61" x14ac:dyDescent="0.25">
      <c r="A65" s="106"/>
      <c r="B65" s="106"/>
      <c r="C65" s="98"/>
      <c r="D65" s="100"/>
      <c r="E65" s="100"/>
      <c r="F65" s="100"/>
      <c r="G65" s="100"/>
      <c r="H65" s="100"/>
      <c r="I65" s="100"/>
      <c r="J65" s="100"/>
      <c r="K65" s="100"/>
      <c r="L65" s="100"/>
      <c r="M65" s="99">
        <f t="shared" ref="M65:AS65" si="97">M13+M15</f>
        <v>5368</v>
      </c>
      <c r="N65" s="99">
        <f t="shared" si="97"/>
        <v>5591</v>
      </c>
      <c r="O65" s="99">
        <f t="shared" si="97"/>
        <v>5630</v>
      </c>
      <c r="P65" s="99">
        <f t="shared" si="97"/>
        <v>5313</v>
      </c>
      <c r="Q65" s="99">
        <f t="shared" si="97"/>
        <v>4969</v>
      </c>
      <c r="R65" s="99">
        <f t="shared" si="97"/>
        <v>5031</v>
      </c>
      <c r="S65" s="99">
        <f t="shared" si="97"/>
        <v>5020</v>
      </c>
      <c r="T65" s="99">
        <f t="shared" si="97"/>
        <v>5039</v>
      </c>
      <c r="U65" s="99">
        <f t="shared" si="97"/>
        <v>5446</v>
      </c>
      <c r="V65" s="99">
        <f t="shared" si="97"/>
        <v>5689</v>
      </c>
      <c r="W65" s="99">
        <f t="shared" si="97"/>
        <v>5747</v>
      </c>
      <c r="X65" s="99">
        <f t="shared" si="97"/>
        <v>5164.3130000000001</v>
      </c>
      <c r="Y65" s="99">
        <f t="shared" si="97"/>
        <v>5169.4580000000005</v>
      </c>
      <c r="Z65" s="99">
        <f t="shared" si="97"/>
        <v>5403.9480000000003</v>
      </c>
      <c r="AA65" s="99">
        <f t="shared" si="97"/>
        <v>5665.768</v>
      </c>
      <c r="AB65" s="99">
        <f t="shared" si="97"/>
        <v>5700.8919999999998</v>
      </c>
      <c r="AC65" s="99">
        <f t="shared" si="97"/>
        <v>5988.2049999999999</v>
      </c>
      <c r="AD65" s="99">
        <f t="shared" si="97"/>
        <v>6221.95</v>
      </c>
      <c r="AE65" s="99">
        <f t="shared" si="97"/>
        <v>6152.2240000000002</v>
      </c>
      <c r="AF65" s="99">
        <f t="shared" si="97"/>
        <v>6257.7860000000001</v>
      </c>
      <c r="AG65" s="99">
        <f t="shared" si="97"/>
        <v>6357.3509999999997</v>
      </c>
      <c r="AH65" s="99">
        <f t="shared" si="97"/>
        <v>6326.7790000000005</v>
      </c>
      <c r="AI65" s="99">
        <f t="shared" si="97"/>
        <v>6044.125</v>
      </c>
      <c r="AJ65" s="99">
        <f t="shared" si="97"/>
        <v>5942.2250000000004</v>
      </c>
      <c r="AK65" s="99">
        <f t="shared" si="97"/>
        <v>6433.366</v>
      </c>
      <c r="AL65" s="99">
        <f t="shared" si="97"/>
        <v>6491.942</v>
      </c>
      <c r="AM65" s="99">
        <f t="shared" si="97"/>
        <v>6560.6369999999997</v>
      </c>
      <c r="AN65" s="99">
        <f t="shared" si="97"/>
        <v>6608.22</v>
      </c>
      <c r="AO65" s="99">
        <f t="shared" si="97"/>
        <v>7453.7699999999995</v>
      </c>
      <c r="AP65" s="99">
        <f t="shared" si="97"/>
        <v>7448.5709999999999</v>
      </c>
      <c r="AQ65" s="99">
        <f t="shared" si="97"/>
        <v>7662.4429999999993</v>
      </c>
      <c r="AR65" s="99">
        <f t="shared" si="97"/>
        <v>7550.473</v>
      </c>
      <c r="AS65" s="99">
        <f t="shared" si="97"/>
        <v>8222.5400000000009</v>
      </c>
      <c r="AT65" s="99">
        <f t="shared" ref="AT65:AU65" si="98">AT13+AT15</f>
        <v>8107.0610000000006</v>
      </c>
      <c r="AU65" s="99">
        <f t="shared" si="98"/>
        <v>8457.0879999999997</v>
      </c>
      <c r="BA65" s="44"/>
    </row>
    <row r="66" spans="1:61" x14ac:dyDescent="0.25">
      <c r="A66" s="106"/>
      <c r="B66" s="106"/>
      <c r="C66" s="98"/>
      <c r="D66" s="99"/>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99"/>
      <c r="AN66" s="99"/>
      <c r="AO66" s="99"/>
      <c r="AP66" s="99"/>
      <c r="AQ66" s="99"/>
      <c r="AR66" s="99"/>
      <c r="AS66" s="99"/>
      <c r="AT66" s="99"/>
      <c r="AU66" s="99"/>
      <c r="BA66" s="44"/>
    </row>
    <row r="67" spans="1:61" x14ac:dyDescent="0.25">
      <c r="A67" s="110"/>
      <c r="B67" s="110"/>
      <c r="C67" s="111"/>
      <c r="D67" s="111"/>
      <c r="E67" s="111"/>
      <c r="F67" s="111"/>
      <c r="G67" s="111"/>
      <c r="H67" s="111"/>
      <c r="I67" s="111"/>
      <c r="J67" s="111"/>
      <c r="K67" s="111"/>
      <c r="L67" s="111"/>
      <c r="M67" s="111"/>
      <c r="N67" s="111"/>
      <c r="O67" s="111"/>
      <c r="P67" s="111"/>
      <c r="Q67" s="111"/>
      <c r="R67" s="77"/>
      <c r="S67" s="77"/>
      <c r="T67" s="77"/>
      <c r="U67" s="77"/>
      <c r="V67" s="77"/>
      <c r="W67" s="77"/>
      <c r="X67" s="77"/>
      <c r="Y67" s="77"/>
      <c r="Z67" s="77"/>
      <c r="AA67" s="77"/>
      <c r="AB67" s="77"/>
      <c r="AC67" s="77"/>
      <c r="AD67" s="77"/>
      <c r="AE67" s="77"/>
      <c r="AF67" s="77"/>
      <c r="AG67" s="77"/>
      <c r="AH67" s="77"/>
      <c r="AI67" s="77"/>
      <c r="AJ67" s="77"/>
      <c r="AK67" s="77"/>
      <c r="AL67" s="77"/>
      <c r="AM67" s="77"/>
      <c r="AN67" s="77"/>
      <c r="AO67" s="77"/>
      <c r="AP67" s="77"/>
      <c r="AQ67" s="77"/>
      <c r="AR67" s="77"/>
      <c r="AS67" s="77"/>
      <c r="AT67" s="77"/>
      <c r="AU67" s="77"/>
      <c r="BA67" s="44"/>
    </row>
    <row r="68" spans="1:61" s="114" customFormat="1" x14ac:dyDescent="0.25">
      <c r="A68" s="112" t="s">
        <v>20</v>
      </c>
      <c r="B68" s="112"/>
      <c r="C68" s="320" t="str">
        <f t="shared" ref="C68:O68" si="99">C1</f>
        <v>4Q12</v>
      </c>
      <c r="D68" s="321" t="str">
        <f t="shared" si="99"/>
        <v>1Q13</v>
      </c>
      <c r="E68" s="321" t="str">
        <f t="shared" si="99"/>
        <v>2Q13</v>
      </c>
      <c r="F68" s="321" t="str">
        <f t="shared" si="99"/>
        <v>3Q13</v>
      </c>
      <c r="G68" s="321" t="str">
        <f t="shared" si="99"/>
        <v>4Q13</v>
      </c>
      <c r="H68" s="321" t="str">
        <f t="shared" si="99"/>
        <v>1Q14</v>
      </c>
      <c r="I68" s="321" t="str">
        <f t="shared" si="99"/>
        <v>2Q14</v>
      </c>
      <c r="J68" s="321" t="str">
        <f t="shared" si="99"/>
        <v>3Q14</v>
      </c>
      <c r="K68" s="321" t="str">
        <f t="shared" si="99"/>
        <v>4Q14</v>
      </c>
      <c r="L68" s="321" t="str">
        <f t="shared" si="99"/>
        <v>1Q15</v>
      </c>
      <c r="M68" s="321" t="str">
        <f t="shared" si="99"/>
        <v>2Q15</v>
      </c>
      <c r="N68" s="321" t="str">
        <f t="shared" si="99"/>
        <v>3Q15</v>
      </c>
      <c r="O68" s="321" t="str">
        <f t="shared" si="99"/>
        <v>4Q15</v>
      </c>
      <c r="P68" s="321" t="s">
        <v>0</v>
      </c>
      <c r="Q68" s="321" t="s">
        <v>1</v>
      </c>
      <c r="R68" s="321" t="s">
        <v>2</v>
      </c>
      <c r="S68" s="321" t="s">
        <v>3</v>
      </c>
      <c r="T68" s="321" t="str">
        <f t="shared" ref="T68:AS68" si="100">T1</f>
        <v>1Q17</v>
      </c>
      <c r="U68" s="321" t="str">
        <f t="shared" si="100"/>
        <v>2Q17</v>
      </c>
      <c r="V68" s="321" t="str">
        <f t="shared" si="100"/>
        <v>3Q17</v>
      </c>
      <c r="W68" s="321" t="str">
        <f t="shared" si="100"/>
        <v>4Q17</v>
      </c>
      <c r="X68" s="321" t="str">
        <f t="shared" si="100"/>
        <v>1Q18</v>
      </c>
      <c r="Y68" s="321" t="str">
        <f t="shared" si="100"/>
        <v>2Q18</v>
      </c>
      <c r="Z68" s="321" t="str">
        <f t="shared" si="100"/>
        <v>3Q18</v>
      </c>
      <c r="AA68" s="321" t="str">
        <f t="shared" si="100"/>
        <v>4Q18</v>
      </c>
      <c r="AB68" s="321" t="str">
        <f t="shared" si="100"/>
        <v>1Q19</v>
      </c>
      <c r="AC68" s="321" t="str">
        <f t="shared" si="100"/>
        <v>2Q19</v>
      </c>
      <c r="AD68" s="321" t="str">
        <f t="shared" si="100"/>
        <v>3Q19</v>
      </c>
      <c r="AE68" s="321" t="str">
        <f t="shared" si="100"/>
        <v>4Q19</v>
      </c>
      <c r="AF68" s="321" t="str">
        <f t="shared" si="100"/>
        <v>1Q20</v>
      </c>
      <c r="AG68" s="321" t="str">
        <f t="shared" si="100"/>
        <v>2Q20</v>
      </c>
      <c r="AH68" s="321" t="str">
        <f t="shared" si="100"/>
        <v>3Q20</v>
      </c>
      <c r="AI68" s="321" t="str">
        <f t="shared" si="100"/>
        <v>4Q20</v>
      </c>
      <c r="AJ68" s="321" t="str">
        <f t="shared" si="100"/>
        <v>1Q21</v>
      </c>
      <c r="AK68" s="321" t="str">
        <f t="shared" si="100"/>
        <v>2Q21</v>
      </c>
      <c r="AL68" s="321" t="str">
        <f t="shared" si="100"/>
        <v>3Q21</v>
      </c>
      <c r="AM68" s="321" t="str">
        <f t="shared" si="100"/>
        <v>4Q21</v>
      </c>
      <c r="AN68" s="321" t="str">
        <f t="shared" si="100"/>
        <v>1Q22</v>
      </c>
      <c r="AO68" s="321" t="str">
        <f t="shared" si="100"/>
        <v>2Q22</v>
      </c>
      <c r="AP68" s="321" t="str">
        <f t="shared" si="100"/>
        <v>3Q22</v>
      </c>
      <c r="AQ68" s="321" t="str">
        <f t="shared" si="100"/>
        <v>4Q22</v>
      </c>
      <c r="AR68" s="321" t="str">
        <f t="shared" si="100"/>
        <v>1Q23</v>
      </c>
      <c r="AS68" s="321" t="str">
        <f t="shared" si="100"/>
        <v>2Q23</v>
      </c>
      <c r="AT68" s="321" t="str">
        <f t="shared" ref="AT68:AU68" si="101">AT1</f>
        <v>3Q23</v>
      </c>
      <c r="AU68" s="321" t="str">
        <f t="shared" si="101"/>
        <v>4Q23</v>
      </c>
      <c r="AV68" s="112"/>
      <c r="AW68" s="112"/>
      <c r="AY68" s="154"/>
      <c r="AZ68" s="392"/>
      <c r="BA68" s="115"/>
      <c r="BB68" s="154"/>
      <c r="BC68" s="408"/>
      <c r="BD68" s="154"/>
      <c r="BE68" s="154"/>
      <c r="BF68" s="154"/>
      <c r="BG68" s="154"/>
      <c r="BH68" s="154"/>
      <c r="BI68" s="154"/>
    </row>
    <row r="69" spans="1:61" s="114" customFormat="1" x14ac:dyDescent="0.25">
      <c r="A69" s="112" t="s">
        <v>82</v>
      </c>
      <c r="B69" s="112"/>
      <c r="C69" s="113"/>
      <c r="D69" s="113"/>
      <c r="E69" s="113"/>
      <c r="F69" s="113"/>
      <c r="G69" s="113"/>
      <c r="H69" s="113"/>
      <c r="I69" s="113"/>
      <c r="J69" s="113"/>
      <c r="K69" s="113"/>
      <c r="L69" s="113"/>
      <c r="M69" s="113"/>
      <c r="N69" s="113"/>
      <c r="O69" s="113"/>
      <c r="P69" s="113"/>
      <c r="Q69" s="113"/>
      <c r="R69" s="113"/>
      <c r="S69" s="113"/>
      <c r="T69" s="113"/>
      <c r="U69" s="113"/>
      <c r="V69" s="113"/>
      <c r="W69" s="113"/>
      <c r="X69" s="113"/>
      <c r="Y69" s="113"/>
      <c r="Z69" s="113"/>
      <c r="AA69" s="113"/>
      <c r="AB69" s="113"/>
      <c r="AC69" s="113"/>
      <c r="AD69" s="113"/>
      <c r="AE69" s="113"/>
      <c r="AF69" s="113"/>
      <c r="AG69" s="113"/>
      <c r="AH69" s="113"/>
      <c r="AI69" s="113"/>
      <c r="AJ69" s="113"/>
      <c r="AK69" s="113"/>
      <c r="AL69" s="113"/>
      <c r="AM69" s="113"/>
      <c r="AN69" s="113"/>
      <c r="AO69" s="113"/>
      <c r="AP69" s="113"/>
      <c r="AQ69" s="113"/>
      <c r="AR69" s="113"/>
      <c r="AS69" s="113"/>
      <c r="AT69" s="113"/>
      <c r="AU69" s="113"/>
      <c r="AV69" s="112"/>
      <c r="AW69" s="112"/>
      <c r="AY69" s="154"/>
      <c r="AZ69" s="392"/>
      <c r="BA69" s="115"/>
      <c r="BB69" s="154"/>
      <c r="BC69" s="408"/>
      <c r="BD69" s="154"/>
      <c r="BE69" s="154"/>
      <c r="BF69" s="154"/>
      <c r="BG69" s="154"/>
      <c r="BH69" s="154"/>
      <c r="BI69" s="154"/>
    </row>
    <row r="70" spans="1:61" x14ac:dyDescent="0.25">
      <c r="C70" s="116"/>
      <c r="D70" s="116"/>
      <c r="E70" s="250"/>
      <c r="F70" s="250"/>
      <c r="G70" s="250"/>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116"/>
      <c r="AQ70" s="116"/>
      <c r="AR70" s="250"/>
      <c r="AS70" s="250"/>
      <c r="AT70" s="250"/>
      <c r="AU70" s="116"/>
      <c r="BA70" s="44"/>
    </row>
    <row r="71" spans="1:61" x14ac:dyDescent="0.25">
      <c r="A71" s="36" t="s">
        <v>163</v>
      </c>
      <c r="B71" s="36"/>
      <c r="C71" s="117"/>
      <c r="D71" s="117"/>
      <c r="E71" s="145"/>
      <c r="F71" s="145"/>
      <c r="G71" s="245"/>
      <c r="H71" s="245">
        <f t="shared" ref="H71:AH71" si="102">H13/D13-1</f>
        <v>-7.9791847354726775E-2</v>
      </c>
      <c r="I71" s="245">
        <f t="shared" si="102"/>
        <v>2.0379050336249982E-4</v>
      </c>
      <c r="J71" s="245">
        <f t="shared" si="102"/>
        <v>-5.9827420901246375E-2</v>
      </c>
      <c r="K71" s="245">
        <f t="shared" si="102"/>
        <v>-6.9950172479877337E-2</v>
      </c>
      <c r="L71" s="245">
        <f t="shared" si="102"/>
        <v>7.0216776625824595E-2</v>
      </c>
      <c r="M71" s="245">
        <f t="shared" si="102"/>
        <v>-4.5436022819885902E-2</v>
      </c>
      <c r="N71" s="245">
        <f t="shared" si="102"/>
        <v>6.3226595961656251E-3</v>
      </c>
      <c r="O71" s="245">
        <f t="shared" si="102"/>
        <v>3.6884401401195088E-2</v>
      </c>
      <c r="P71" s="245">
        <f t="shared" si="102"/>
        <v>5.2619991193306959E-2</v>
      </c>
      <c r="Q71" s="245">
        <f t="shared" si="102"/>
        <v>-4.6104589114194239E-2</v>
      </c>
      <c r="R71" s="245">
        <f t="shared" si="102"/>
        <v>-8.0056749087961121E-2</v>
      </c>
      <c r="S71" s="245">
        <f t="shared" si="102"/>
        <v>-8.8831478537360842E-2</v>
      </c>
      <c r="T71" s="245">
        <f t="shared" si="102"/>
        <v>-3.8067349926793503E-2</v>
      </c>
      <c r="U71" s="245">
        <f t="shared" si="102"/>
        <v>0.12463638397851873</v>
      </c>
      <c r="V71" s="245">
        <f t="shared" si="102"/>
        <v>0.16325181758096496</v>
      </c>
      <c r="W71" s="71">
        <f t="shared" si="102"/>
        <v>0.16793893129770998</v>
      </c>
      <c r="X71" s="71">
        <f t="shared" si="102"/>
        <v>5.531702544031325E-2</v>
      </c>
      <c r="Y71" s="71">
        <f t="shared" si="102"/>
        <v>-3.6584361321130077E-2</v>
      </c>
      <c r="Z71" s="71">
        <f t="shared" si="102"/>
        <v>-4.4088257575757628E-2</v>
      </c>
      <c r="AA71" s="71">
        <f t="shared" si="102"/>
        <v>-2.2192343604108267E-3</v>
      </c>
      <c r="AB71" s="71">
        <f t="shared" si="102"/>
        <v>0.11601921373518742</v>
      </c>
      <c r="AC71" s="71">
        <f t="shared" si="102"/>
        <v>0.17762400697049041</v>
      </c>
      <c r="AD71" s="71">
        <f t="shared" si="102"/>
        <v>0.1764965781122021</v>
      </c>
      <c r="AE71" s="71">
        <f t="shared" si="102"/>
        <v>0.10308872201165031</v>
      </c>
      <c r="AF71" s="71">
        <f t="shared" si="102"/>
        <v>0.10905639832134861</v>
      </c>
      <c r="AG71" s="71">
        <f t="shared" si="102"/>
        <v>8.3654656400462546E-2</v>
      </c>
      <c r="AH71" s="71">
        <f t="shared" si="102"/>
        <v>3.5535522723866508E-2</v>
      </c>
      <c r="AI71" s="278">
        <v>0</v>
      </c>
      <c r="AJ71" s="71">
        <f>AJ13/AF13-1</f>
        <v>-3.6563493704381833E-2</v>
      </c>
      <c r="AK71" s="71">
        <f>AK13/AG13-1</f>
        <v>1.6240234812770149E-2</v>
      </c>
      <c r="AL71" s="278">
        <v>3.0826945033436637E-2</v>
      </c>
      <c r="AM71" s="71">
        <f t="shared" ref="AM71:AS71" si="103">AM13/AI13-1</f>
        <v>8.8868032747695835E-2</v>
      </c>
      <c r="AN71" s="71">
        <f t="shared" si="103"/>
        <v>0.11998030254598224</v>
      </c>
      <c r="AO71" s="71">
        <f t="shared" si="103"/>
        <v>0.10130656973013918</v>
      </c>
      <c r="AP71" s="71">
        <f t="shared" si="103"/>
        <v>0.1209249554560643</v>
      </c>
      <c r="AQ71" s="71">
        <f t="shared" si="103"/>
        <v>0.14131001563690737</v>
      </c>
      <c r="AR71" s="71">
        <f t="shared" si="103"/>
        <v>0.12549124938174394</v>
      </c>
      <c r="AS71" s="71">
        <f t="shared" si="103"/>
        <v>0.14021748953654245</v>
      </c>
      <c r="AT71" s="71">
        <f>AT13/AP13-1</f>
        <v>8.0473524822312958E-2</v>
      </c>
      <c r="AU71" s="71">
        <f>AU13/AQ13-1</f>
        <v>0.10188445098947385</v>
      </c>
      <c r="AW71" s="36"/>
      <c r="BA71" s="44"/>
    </row>
    <row r="72" spans="1:61" x14ac:dyDescent="0.25">
      <c r="A72" s="43" t="s">
        <v>164</v>
      </c>
      <c r="C72" s="116"/>
      <c r="D72" s="119"/>
      <c r="E72" s="151">
        <f t="shared" ref="E72:AU72" si="104">E13/D13-1</f>
        <v>6.3963573287077136E-2</v>
      </c>
      <c r="F72" s="151">
        <f t="shared" si="104"/>
        <v>6.2767475035663267E-2</v>
      </c>
      <c r="G72" s="151">
        <f t="shared" si="104"/>
        <v>5.7526366251203775E-4</v>
      </c>
      <c r="H72" s="151">
        <f t="shared" si="104"/>
        <v>-0.18666155615178226</v>
      </c>
      <c r="I72" s="151">
        <f t="shared" si="104"/>
        <v>0.15645617342130058</v>
      </c>
      <c r="J72" s="151">
        <f t="shared" si="104"/>
        <v>-1.0187449062755149E-3</v>
      </c>
      <c r="K72" s="151">
        <f t="shared" si="104"/>
        <v>-1.0197838058331632E-2</v>
      </c>
      <c r="L72" s="151">
        <f t="shared" si="104"/>
        <v>-6.4084071708221724E-2</v>
      </c>
      <c r="M72" s="151">
        <f t="shared" si="104"/>
        <v>3.1483927785116661E-2</v>
      </c>
      <c r="N72" s="151">
        <f t="shared" si="104"/>
        <v>5.3148345784418405E-2</v>
      </c>
      <c r="O72" s="151">
        <f t="shared" si="104"/>
        <v>1.9862180786380135E-2</v>
      </c>
      <c r="P72" s="151">
        <f t="shared" si="104"/>
        <v>-4.988076311605727E-2</v>
      </c>
      <c r="Q72" s="151">
        <f t="shared" si="104"/>
        <v>-6.5258314160217545E-2</v>
      </c>
      <c r="R72" s="244">
        <f t="shared" si="104"/>
        <v>1.5663459386887402E-2</v>
      </c>
      <c r="S72" s="244">
        <f t="shared" si="104"/>
        <v>1.0134390834985574E-2</v>
      </c>
      <c r="T72" s="244">
        <f t="shared" si="104"/>
        <v>3.0534351145037331E-3</v>
      </c>
      <c r="U72" s="244">
        <f t="shared" si="104"/>
        <v>9.284627092846276E-2</v>
      </c>
      <c r="V72" s="244">
        <f t="shared" si="104"/>
        <v>5.0537206526064526E-2</v>
      </c>
      <c r="W72" s="244">
        <f t="shared" si="104"/>
        <v>1.4204545454545414E-2</v>
      </c>
      <c r="X72" s="244">
        <f t="shared" si="104"/>
        <v>-9.366890756302515E-2</v>
      </c>
      <c r="Y72" s="244">
        <f t="shared" si="104"/>
        <v>-2.323318298521615E-3</v>
      </c>
      <c r="Z72" s="244">
        <f t="shared" si="104"/>
        <v>4.2354733777118847E-2</v>
      </c>
      <c r="AA72" s="244">
        <f t="shared" si="104"/>
        <v>5.8626798863689933E-2</v>
      </c>
      <c r="AB72" s="244">
        <f t="shared" si="104"/>
        <v>1.3732623435463553E-2</v>
      </c>
      <c r="AC72" s="244">
        <f t="shared" si="104"/>
        <v>5.2748910687749673E-2</v>
      </c>
      <c r="AD72" s="244">
        <f t="shared" si="104"/>
        <v>4.1356808462691186E-2</v>
      </c>
      <c r="AE72" s="244">
        <f t="shared" si="104"/>
        <v>-7.4265370838475508E-3</v>
      </c>
      <c r="AF72" s="244">
        <f t="shared" si="104"/>
        <v>1.921688597983251E-2</v>
      </c>
      <c r="AG72" s="244">
        <f t="shared" si="104"/>
        <v>2.8636831106170213E-2</v>
      </c>
      <c r="AH72" s="244">
        <f t="shared" si="104"/>
        <v>-4.8841107964903152E-3</v>
      </c>
      <c r="AI72" s="244">
        <f t="shared" si="104"/>
        <v>-4.4192582225423438E-2</v>
      </c>
      <c r="AJ72" s="244">
        <f t="shared" si="104"/>
        <v>-1.52704499124513E-2</v>
      </c>
      <c r="AK72" s="244">
        <f t="shared" si="104"/>
        <v>8.5014038755604648E-2</v>
      </c>
      <c r="AL72" s="244">
        <f t="shared" si="104"/>
        <v>9.5922127189220774E-3</v>
      </c>
      <c r="AM72" s="244">
        <f t="shared" si="104"/>
        <v>9.4316736405897217E-3</v>
      </c>
      <c r="AN72" s="244">
        <f t="shared" si="104"/>
        <v>1.2866266860616093E-2</v>
      </c>
      <c r="AO72" s="244">
        <f t="shared" si="104"/>
        <v>6.692330786051448E-2</v>
      </c>
      <c r="AP72" s="244">
        <f t="shared" si="104"/>
        <v>2.7576822998567785E-2</v>
      </c>
      <c r="AQ72" s="244">
        <f t="shared" si="104"/>
        <v>2.7789125060913022E-2</v>
      </c>
      <c r="AR72" s="244">
        <f t="shared" si="104"/>
        <v>-1.1722454661743376E-3</v>
      </c>
      <c r="AS72" s="244">
        <f t="shared" si="104"/>
        <v>8.0883228798982021E-2</v>
      </c>
      <c r="AT72" s="244">
        <f t="shared" ref="AT72" si="105">AT13/AS13-1</f>
        <v>-2.6265109806146492E-2</v>
      </c>
      <c r="AU72" s="244">
        <f t="shared" si="104"/>
        <v>4.8156044348184768E-2</v>
      </c>
      <c r="AW72" s="36"/>
      <c r="BA72" s="44"/>
    </row>
    <row r="73" spans="1:61" x14ac:dyDescent="0.25">
      <c r="C73" s="116"/>
      <c r="D73" s="121"/>
      <c r="E73" s="260"/>
      <c r="F73" s="260"/>
      <c r="G73" s="260"/>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60"/>
      <c r="AJ73" s="260"/>
      <c r="AK73" s="260"/>
      <c r="AL73" s="260"/>
      <c r="AM73" s="260"/>
      <c r="AN73" s="260"/>
      <c r="AO73" s="260"/>
      <c r="AP73" s="260"/>
      <c r="AQ73" s="260"/>
      <c r="AR73" s="260"/>
      <c r="AS73" s="260"/>
      <c r="AT73" s="260"/>
      <c r="AU73" s="260"/>
      <c r="AW73" s="36"/>
      <c r="BA73" s="44"/>
    </row>
    <row r="74" spans="1:61" x14ac:dyDescent="0.25">
      <c r="A74" s="43" t="s">
        <v>81</v>
      </c>
      <c r="C74" s="116"/>
      <c r="D74" s="121"/>
      <c r="E74" s="260"/>
      <c r="F74" s="260"/>
      <c r="G74" s="260"/>
      <c r="H74" s="151">
        <f t="shared" ref="H74:AU74" si="106">H18/D18-1</f>
        <v>-4.3591524835012163E-2</v>
      </c>
      <c r="I74" s="151">
        <f t="shared" si="106"/>
        <v>-2.3121387283236983E-3</v>
      </c>
      <c r="J74" s="151">
        <f t="shared" si="106"/>
        <v>-5.9799624295554188E-2</v>
      </c>
      <c r="K74" s="151">
        <f t="shared" si="106"/>
        <v>-7.4729750900830338E-2</v>
      </c>
      <c r="L74" s="151">
        <f t="shared" si="106"/>
        <v>-4.7212638460141232E-3</v>
      </c>
      <c r="M74" s="151">
        <f t="shared" si="106"/>
        <v>-7.1180268167521987E-2</v>
      </c>
      <c r="N74" s="151">
        <f t="shared" si="106"/>
        <v>-2.9304029304029311E-2</v>
      </c>
      <c r="O74" s="151">
        <f t="shared" si="106"/>
        <v>1.1344395529969464E-2</v>
      </c>
      <c r="P74" s="151">
        <f t="shared" si="106"/>
        <v>2.4630541871921263E-2</v>
      </c>
      <c r="Q74" s="151">
        <f t="shared" si="106"/>
        <v>-6.6476563892354346E-2</v>
      </c>
      <c r="R74" s="151">
        <f t="shared" si="106"/>
        <v>-0.10291595197255576</v>
      </c>
      <c r="S74" s="151">
        <f t="shared" si="106"/>
        <v>-0.11987276075673869</v>
      </c>
      <c r="T74" s="151">
        <f t="shared" si="106"/>
        <v>-6.232193732193736E-2</v>
      </c>
      <c r="U74" s="151">
        <f t="shared" si="106"/>
        <v>8.1901489117983894E-2</v>
      </c>
      <c r="V74" s="151">
        <f t="shared" si="106"/>
        <v>0.14149139579349912</v>
      </c>
      <c r="W74" s="151">
        <f t="shared" si="106"/>
        <v>0.14095491725318632</v>
      </c>
      <c r="X74" s="244">
        <f t="shared" si="106"/>
        <v>4.4695214584124621E-2</v>
      </c>
      <c r="Y74" s="244">
        <f t="shared" si="106"/>
        <v>-2.1585142050467687E-2</v>
      </c>
      <c r="Z74" s="244">
        <f t="shared" si="106"/>
        <v>-2.0742043551088774E-2</v>
      </c>
      <c r="AA74" s="244">
        <f t="shared" si="106"/>
        <v>8.1027009003000749E-3</v>
      </c>
      <c r="AB74" s="244">
        <f t="shared" si="106"/>
        <v>8.468062017335698E-2</v>
      </c>
      <c r="AC74" s="244">
        <f t="shared" si="106"/>
        <v>0.13435011633680372</v>
      </c>
      <c r="AD74" s="151">
        <f t="shared" si="106"/>
        <v>0.10562864234190927</v>
      </c>
      <c r="AE74" s="151">
        <f t="shared" si="106"/>
        <v>6.0485231369695303E-2</v>
      </c>
      <c r="AF74" s="151">
        <f t="shared" si="106"/>
        <v>8.880628580391825E-2</v>
      </c>
      <c r="AG74" s="151">
        <f t="shared" si="106"/>
        <v>4.6967019391519926E-2</v>
      </c>
      <c r="AH74" s="151">
        <f t="shared" si="106"/>
        <v>1.7064238663562659E-2</v>
      </c>
      <c r="AI74" s="151">
        <f t="shared" si="106"/>
        <v>-9.2612201804959104E-3</v>
      </c>
      <c r="AJ74" s="151">
        <f t="shared" si="106"/>
        <v>-3.8445774155472123E-2</v>
      </c>
      <c r="AK74" s="151">
        <f t="shared" si="106"/>
        <v>2.1537859705279105E-2</v>
      </c>
      <c r="AL74" s="151">
        <f t="shared" si="106"/>
        <v>3.8333335108003519E-2</v>
      </c>
      <c r="AM74" s="151">
        <f t="shared" si="106"/>
        <v>9.4588115368244852E-2</v>
      </c>
      <c r="AN74" s="151">
        <f t="shared" si="106"/>
        <v>7.9184769638005692E-2</v>
      </c>
      <c r="AO74" s="151">
        <f t="shared" si="106"/>
        <v>9.0072806888706447E-2</v>
      </c>
      <c r="AP74" s="151">
        <f t="shared" si="106"/>
        <v>0.10175895261554624</v>
      </c>
      <c r="AQ74" s="151">
        <f t="shared" si="106"/>
        <v>8.5238594926527522E-2</v>
      </c>
      <c r="AR74" s="151">
        <f t="shared" si="106"/>
        <v>0.1194390319040517</v>
      </c>
      <c r="AS74" s="151">
        <f t="shared" si="106"/>
        <v>0.12061819720620193</v>
      </c>
      <c r="AT74" s="151">
        <f t="shared" si="106"/>
        <v>7.7477461904634781E-2</v>
      </c>
      <c r="AU74" s="151">
        <f t="shared" si="106"/>
        <v>0.12035270480961402</v>
      </c>
      <c r="AW74" s="36"/>
      <c r="BA74" s="44"/>
    </row>
    <row r="75" spans="1:61" x14ac:dyDescent="0.25">
      <c r="C75" s="116"/>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W75" s="36"/>
      <c r="BA75" s="44"/>
    </row>
    <row r="76" spans="1:61" x14ac:dyDescent="0.25">
      <c r="A76" s="36" t="s">
        <v>179</v>
      </c>
      <c r="B76" s="36"/>
      <c r="C76" s="122"/>
      <c r="D76" s="118"/>
      <c r="E76" s="118"/>
      <c r="F76" s="118"/>
      <c r="G76" s="118"/>
      <c r="H76" s="245">
        <f t="shared" ref="H76:V76" si="107">H60/D60-1</f>
        <v>0.30313588850174211</v>
      </c>
      <c r="I76" s="245">
        <f t="shared" si="107"/>
        <v>0.54891304347826098</v>
      </c>
      <c r="J76" s="245">
        <f t="shared" si="107"/>
        <v>0.4323790720631786</v>
      </c>
      <c r="K76" s="245">
        <f t="shared" si="107"/>
        <v>0.37523452157598491</v>
      </c>
      <c r="L76" s="245">
        <f t="shared" si="107"/>
        <v>0.28966131907308368</v>
      </c>
      <c r="M76" s="245">
        <f t="shared" si="107"/>
        <v>3.0175438596491189E-2</v>
      </c>
      <c r="N76" s="245">
        <f t="shared" si="107"/>
        <v>5.8580289455547829E-2</v>
      </c>
      <c r="O76" s="245">
        <f t="shared" si="107"/>
        <v>0.20395634379263305</v>
      </c>
      <c r="P76" s="245">
        <f t="shared" si="107"/>
        <v>0.23151347615756745</v>
      </c>
      <c r="Q76" s="245">
        <f t="shared" si="107"/>
        <v>0.21662125340599458</v>
      </c>
      <c r="R76" s="245">
        <f t="shared" si="107"/>
        <v>0.38216145833333326</v>
      </c>
      <c r="S76" s="245">
        <f t="shared" si="107"/>
        <v>0.380169971671388</v>
      </c>
      <c r="T76" s="245">
        <f t="shared" si="107"/>
        <v>0.48709315375982043</v>
      </c>
      <c r="U76" s="245">
        <f t="shared" si="107"/>
        <v>0.77155655095184761</v>
      </c>
      <c r="V76" s="245">
        <f t="shared" si="107"/>
        <v>0.65661799340555826</v>
      </c>
      <c r="W76" s="71">
        <f t="shared" ref="W76:AH76" si="108">W60/S60-1</f>
        <v>0.54228243021346478</v>
      </c>
      <c r="X76" s="71">
        <f t="shared" si="108"/>
        <v>0.30641509433962266</v>
      </c>
      <c r="Y76" s="71">
        <f t="shared" si="108"/>
        <v>0.1147281921618204</v>
      </c>
      <c r="Z76" s="71">
        <f t="shared" si="108"/>
        <v>0.13306795564401486</v>
      </c>
      <c r="AA76" s="71">
        <f t="shared" si="108"/>
        <v>0.16103273888741021</v>
      </c>
      <c r="AB76" s="71">
        <f t="shared" si="108"/>
        <v>0.33911034084344305</v>
      </c>
      <c r="AC76" s="71">
        <f t="shared" si="108"/>
        <v>0.41678480294868159</v>
      </c>
      <c r="AD76" s="71">
        <f t="shared" si="108"/>
        <v>0.33199498117942294</v>
      </c>
      <c r="AE76" s="71">
        <f t="shared" si="108"/>
        <v>0.2180192572214581</v>
      </c>
      <c r="AF76" s="71">
        <f t="shared" si="108"/>
        <v>0.17105263157894735</v>
      </c>
      <c r="AG76" s="71">
        <f t="shared" si="108"/>
        <v>0.13247948769261564</v>
      </c>
      <c r="AH76" s="71">
        <f t="shared" si="108"/>
        <v>7.0836473247927634E-2</v>
      </c>
      <c r="AI76" s="71">
        <f t="shared" ref="AI76:AO76" si="109">AI60/AE60-1</f>
        <v>2.2397891963109373E-2</v>
      </c>
      <c r="AJ76" s="71">
        <f t="shared" si="109"/>
        <v>-6.8152514275189313E-3</v>
      </c>
      <c r="AK76" s="71">
        <f t="shared" si="109"/>
        <v>4.1880190846439236E-2</v>
      </c>
      <c r="AL76" s="71">
        <f t="shared" si="109"/>
        <v>5.8057705840957041E-2</v>
      </c>
      <c r="AM76" s="71">
        <f t="shared" si="109"/>
        <v>0.12426362297496318</v>
      </c>
      <c r="AN76" s="71">
        <f t="shared" si="109"/>
        <v>9.6068249258160154E-2</v>
      </c>
      <c r="AO76" s="71">
        <f t="shared" si="109"/>
        <v>0.12669606512890086</v>
      </c>
      <c r="AP76" s="71">
        <f>AP60/AL60-1</f>
        <v>0.13834386431659462</v>
      </c>
      <c r="AQ76" s="71">
        <f>AQ60/AM60-1</f>
        <v>0.11937121336171597</v>
      </c>
      <c r="AR76" s="71">
        <f t="shared" ref="AR76:AT76" si="110">AR60/AN60-1</f>
        <v>0.16920473773265643</v>
      </c>
      <c r="AS76" s="71">
        <f t="shared" si="110"/>
        <v>0.12915851272015666</v>
      </c>
      <c r="AT76" s="71">
        <f t="shared" si="110"/>
        <v>6.7922874671340949E-2</v>
      </c>
      <c r="AU76" s="71">
        <f>AU60/AQ60-1</f>
        <v>0.1234640140433001</v>
      </c>
      <c r="AW76" s="36"/>
      <c r="BA76" s="44"/>
    </row>
    <row r="77" spans="1:61" x14ac:dyDescent="0.25">
      <c r="A77" s="43" t="s">
        <v>175</v>
      </c>
      <c r="C77" s="116"/>
      <c r="D77" s="119"/>
      <c r="E77" s="151">
        <f t="shared" ref="E77:V77" si="111">E60/D60-1</f>
        <v>6.8524970963995457E-2</v>
      </c>
      <c r="F77" s="151">
        <f t="shared" si="111"/>
        <v>0.10108695652173916</v>
      </c>
      <c r="G77" s="151">
        <f t="shared" si="111"/>
        <v>5.2319842053307086E-2</v>
      </c>
      <c r="H77" s="151">
        <f t="shared" si="111"/>
        <v>5.2532833020637826E-2</v>
      </c>
      <c r="I77" s="151">
        <f t="shared" si="111"/>
        <v>0.27005347593582885</v>
      </c>
      <c r="J77" s="151">
        <f t="shared" si="111"/>
        <v>1.8245614035087732E-2</v>
      </c>
      <c r="K77" s="151">
        <f t="shared" si="111"/>
        <v>1.0337698139214258E-2</v>
      </c>
      <c r="L77" s="151">
        <f t="shared" si="111"/>
        <v>-1.2960436562073685E-2</v>
      </c>
      <c r="M77" s="151">
        <f t="shared" si="111"/>
        <v>1.4512785072563927E-2</v>
      </c>
      <c r="N77" s="151">
        <f t="shared" si="111"/>
        <v>4.632152588555849E-2</v>
      </c>
      <c r="O77" s="151">
        <f t="shared" si="111"/>
        <v>0.14908854166666674</v>
      </c>
      <c r="P77" s="151">
        <f t="shared" si="111"/>
        <v>9.6317280453257492E-3</v>
      </c>
      <c r="Q77" s="151">
        <f t="shared" si="111"/>
        <v>2.2446689113355678E-3</v>
      </c>
      <c r="R77" s="151">
        <f t="shared" si="111"/>
        <v>0.18868980963045923</v>
      </c>
      <c r="S77" s="151">
        <f t="shared" si="111"/>
        <v>0.14743287800282623</v>
      </c>
      <c r="T77" s="151">
        <f t="shared" si="111"/>
        <v>8.7848932676518832E-2</v>
      </c>
      <c r="U77" s="151">
        <f t="shared" si="111"/>
        <v>0.19396226415094331</v>
      </c>
      <c r="V77" s="151">
        <f t="shared" si="111"/>
        <v>0.11156763590391905</v>
      </c>
      <c r="W77" s="151">
        <f t="shared" ref="W77:AH77" si="112">W60/V60-1</f>
        <v>6.8239977253340856E-2</v>
      </c>
      <c r="X77" s="244">
        <f t="shared" si="112"/>
        <v>-7.852009582113384E-2</v>
      </c>
      <c r="Y77" s="244">
        <f t="shared" si="112"/>
        <v>1.8775274407856646E-2</v>
      </c>
      <c r="Z77" s="244">
        <f t="shared" si="112"/>
        <v>0.12985540119081374</v>
      </c>
      <c r="AA77" s="244">
        <f t="shared" si="112"/>
        <v>9.4604767879548302E-2</v>
      </c>
      <c r="AB77" s="244">
        <f t="shared" si="112"/>
        <v>6.2815222375057322E-2</v>
      </c>
      <c r="AC77" s="244">
        <f t="shared" si="112"/>
        <v>7.7868852459016313E-2</v>
      </c>
      <c r="AD77" s="151">
        <f t="shared" si="112"/>
        <v>6.2237342405443208E-2</v>
      </c>
      <c r="AE77" s="151">
        <f t="shared" si="112"/>
        <v>9.4197437829701691E-4</v>
      </c>
      <c r="AF77" s="151">
        <f t="shared" si="112"/>
        <v>2.1833239224543499E-2</v>
      </c>
      <c r="AG77" s="151">
        <f t="shared" si="112"/>
        <v>4.2365076441333471E-2</v>
      </c>
      <c r="AH77" s="151">
        <f t="shared" si="112"/>
        <v>4.4177416504682654E-3</v>
      </c>
      <c r="AI77" s="151">
        <f t="shared" ref="AI77:AU77" si="113">AI60/AH60-1</f>
        <v>-4.4334975369458074E-2</v>
      </c>
      <c r="AJ77" s="151">
        <f t="shared" si="113"/>
        <v>-7.3637702503681624E-3</v>
      </c>
      <c r="AK77" s="151">
        <f t="shared" si="113"/>
        <v>9.3471810089020835E-2</v>
      </c>
      <c r="AL77" s="151">
        <f t="shared" si="113"/>
        <v>2.00135685210312E-2</v>
      </c>
      <c r="AM77" s="151">
        <f t="shared" si="113"/>
        <v>1.5463917525773141E-2</v>
      </c>
      <c r="AN77" s="151">
        <f t="shared" si="113"/>
        <v>-3.2258064516129004E-2</v>
      </c>
      <c r="AO77" s="151">
        <f t="shared" si="113"/>
        <v>0.12402707275803726</v>
      </c>
      <c r="AP77" s="151">
        <f t="shared" si="113"/>
        <v>3.0558482613277205E-2</v>
      </c>
      <c r="AQ77" s="151">
        <f t="shared" si="113"/>
        <v>-1.4607069821793717E-3</v>
      </c>
      <c r="AR77" s="151">
        <f t="shared" si="113"/>
        <v>1.0825043885313024E-2</v>
      </c>
      <c r="AS77" s="151">
        <f t="shared" si="113"/>
        <v>8.5528219971056529E-2</v>
      </c>
      <c r="AT77" s="151">
        <f t="shared" si="113"/>
        <v>-2.532995600586585E-2</v>
      </c>
      <c r="AU77" s="151">
        <f t="shared" si="113"/>
        <v>5.0471891670086144E-2</v>
      </c>
      <c r="AW77" s="36"/>
      <c r="BA77" s="44"/>
    </row>
    <row r="78" spans="1:61" x14ac:dyDescent="0.25">
      <c r="A78" s="36" t="s">
        <v>176</v>
      </c>
      <c r="B78" s="36"/>
      <c r="C78" s="122"/>
      <c r="D78" s="245">
        <f t="shared" ref="D78:AS78" si="114">D60/D13</f>
        <v>0.18668690372940155</v>
      </c>
      <c r="E78" s="245">
        <f t="shared" si="114"/>
        <v>0.18748726309353983</v>
      </c>
      <c r="F78" s="245">
        <f t="shared" si="114"/>
        <v>0.19424736337488016</v>
      </c>
      <c r="G78" s="245">
        <f t="shared" si="114"/>
        <v>0.20429283250287467</v>
      </c>
      <c r="H78" s="245">
        <f t="shared" si="114"/>
        <v>0.26437323279924602</v>
      </c>
      <c r="I78" s="245">
        <f t="shared" si="114"/>
        <v>0.29034229828850855</v>
      </c>
      <c r="J78" s="245">
        <f t="shared" si="114"/>
        <v>0.29594126045278402</v>
      </c>
      <c r="K78" s="245">
        <f t="shared" si="114"/>
        <v>0.30208118689470431</v>
      </c>
      <c r="L78" s="245">
        <f t="shared" si="114"/>
        <v>0.31858212241303391</v>
      </c>
      <c r="M78" s="245">
        <f t="shared" si="114"/>
        <v>0.31334044823906082</v>
      </c>
      <c r="N78" s="245">
        <f t="shared" si="114"/>
        <v>0.31130928252938794</v>
      </c>
      <c r="O78" s="245">
        <f t="shared" si="114"/>
        <v>0.3507551669316375</v>
      </c>
      <c r="P78" s="245">
        <f t="shared" si="114"/>
        <v>0.37272537126124244</v>
      </c>
      <c r="Q78" s="245">
        <f t="shared" si="114"/>
        <v>0.39964197807115687</v>
      </c>
      <c r="R78" s="245">
        <f t="shared" si="114"/>
        <v>0.46772416831901298</v>
      </c>
      <c r="S78" s="245">
        <f t="shared" si="114"/>
        <v>0.5312977099236641</v>
      </c>
      <c r="T78" s="245">
        <f t="shared" si="114"/>
        <v>0.57621222004783645</v>
      </c>
      <c r="U78" s="245">
        <f t="shared" si="114"/>
        <v>0.62952646239554322</v>
      </c>
      <c r="V78" s="245">
        <f t="shared" si="114"/>
        <v>0.66609848484848488</v>
      </c>
      <c r="W78" s="71">
        <f t="shared" si="114"/>
        <v>0.70158730158730154</v>
      </c>
      <c r="X78" s="71">
        <f t="shared" si="114"/>
        <v>0.71331393663373921</v>
      </c>
      <c r="Y78" s="71">
        <f t="shared" si="114"/>
        <v>0.72839890403535468</v>
      </c>
      <c r="Z78" s="71">
        <f t="shared" si="114"/>
        <v>0.78954448929647125</v>
      </c>
      <c r="AA78" s="71">
        <f t="shared" si="114"/>
        <v>0.81637755946155766</v>
      </c>
      <c r="AB78" s="71">
        <f t="shared" si="114"/>
        <v>0.85590468072410719</v>
      </c>
      <c r="AC78" s="71">
        <f t="shared" si="114"/>
        <v>0.87632766622736291</v>
      </c>
      <c r="AD78" s="71">
        <f t="shared" si="114"/>
        <v>0.8938991551069968</v>
      </c>
      <c r="AE78" s="71">
        <f t="shared" si="114"/>
        <v>0.90143573109356046</v>
      </c>
      <c r="AF78" s="71">
        <f t="shared" si="114"/>
        <v>0.90374973739819287</v>
      </c>
      <c r="AG78" s="71">
        <f t="shared" si="114"/>
        <v>0.91581123251620233</v>
      </c>
      <c r="AH78" s="71">
        <f t="shared" si="114"/>
        <v>0.92437178415300858</v>
      </c>
      <c r="AI78" s="71">
        <f t="shared" si="114"/>
        <v>0.92423407418952142</v>
      </c>
      <c r="AJ78" s="71">
        <f t="shared" si="114"/>
        <v>0.93165501809919571</v>
      </c>
      <c r="AK78" s="71">
        <f t="shared" si="114"/>
        <v>0.93891734358371182</v>
      </c>
      <c r="AL78" s="71">
        <f t="shared" si="114"/>
        <v>0.94860916923667093</v>
      </c>
      <c r="AM78" s="71">
        <f t="shared" si="114"/>
        <v>0.95427794505377905</v>
      </c>
      <c r="AN78" s="71">
        <f t="shared" si="114"/>
        <v>0.91176378930882129</v>
      </c>
      <c r="AO78" s="71">
        <f t="shared" si="114"/>
        <v>0.96056312163493829</v>
      </c>
      <c r="AP78" s="71">
        <f t="shared" si="114"/>
        <v>0.96335033150874649</v>
      </c>
      <c r="AQ78" s="71">
        <f t="shared" si="114"/>
        <v>0.93593436192099844</v>
      </c>
      <c r="AR78" s="71">
        <f t="shared" si="114"/>
        <v>0.94717621548683828</v>
      </c>
      <c r="AS78" s="71">
        <f t="shared" si="114"/>
        <v>0.95124661369648023</v>
      </c>
      <c r="AT78" s="71">
        <f t="shared" ref="AT78:AU78" si="115">AT60/AT13</f>
        <v>0.95216017024535271</v>
      </c>
      <c r="AU78" s="71">
        <f t="shared" si="115"/>
        <v>0.95426391957940837</v>
      </c>
      <c r="AW78" s="36"/>
      <c r="BA78" s="44"/>
    </row>
    <row r="79" spans="1:61" x14ac:dyDescent="0.25">
      <c r="A79" s="43" t="s">
        <v>177</v>
      </c>
      <c r="C79" s="116"/>
      <c r="D79" s="151">
        <f t="shared" ref="D79:AS79" si="116">D60/D18</f>
        <v>0.14953108718304967</v>
      </c>
      <c r="E79" s="151">
        <f t="shared" si="116"/>
        <v>0.15194054500412882</v>
      </c>
      <c r="F79" s="151">
        <f t="shared" si="116"/>
        <v>0.15857858484658735</v>
      </c>
      <c r="G79" s="151">
        <f t="shared" si="116"/>
        <v>0.16700610997963339</v>
      </c>
      <c r="H79" s="151">
        <f t="shared" si="116"/>
        <v>0.20374069366261122</v>
      </c>
      <c r="I79" s="151">
        <f t="shared" si="116"/>
        <v>0.23588809799702037</v>
      </c>
      <c r="J79" s="151">
        <f t="shared" si="116"/>
        <v>0.2415917415917416</v>
      </c>
      <c r="K79" s="151">
        <f t="shared" si="116"/>
        <v>0.24822214696918388</v>
      </c>
      <c r="L79" s="151">
        <f t="shared" si="116"/>
        <v>0.26400291917533297</v>
      </c>
      <c r="M79" s="151">
        <f t="shared" si="116"/>
        <v>0.26162894314738905</v>
      </c>
      <c r="N79" s="151">
        <f t="shared" si="116"/>
        <v>0.26346483704974272</v>
      </c>
      <c r="O79" s="151">
        <f t="shared" si="116"/>
        <v>0.29549640046877618</v>
      </c>
      <c r="P79" s="151">
        <f t="shared" si="116"/>
        <v>0.31730769230769229</v>
      </c>
      <c r="Q79" s="151">
        <f t="shared" si="116"/>
        <v>0.34096983581519663</v>
      </c>
      <c r="R79" s="151">
        <f t="shared" si="116"/>
        <v>0.40592734225621413</v>
      </c>
      <c r="S79" s="151">
        <f t="shared" si="116"/>
        <v>0.4633821571238349</v>
      </c>
      <c r="T79" s="151">
        <f t="shared" si="116"/>
        <v>0.50322825674135963</v>
      </c>
      <c r="U79" s="151">
        <f t="shared" si="116"/>
        <v>0.5583200988177166</v>
      </c>
      <c r="V79" s="151">
        <f t="shared" si="116"/>
        <v>0.58911222780569517</v>
      </c>
      <c r="W79" s="151">
        <f t="shared" si="116"/>
        <v>0.62637545848616205</v>
      </c>
      <c r="X79" s="244">
        <f t="shared" si="116"/>
        <v>0.62929836504213044</v>
      </c>
      <c r="Y79" s="244">
        <f t="shared" si="116"/>
        <v>0.63610558378783832</v>
      </c>
      <c r="Z79" s="244">
        <f t="shared" si="116"/>
        <v>0.68164285335527364</v>
      </c>
      <c r="AA79" s="244">
        <f t="shared" si="116"/>
        <v>0.721397148810902</v>
      </c>
      <c r="AB79" s="244">
        <f t="shared" si="116"/>
        <v>0.77691067069042485</v>
      </c>
      <c r="AC79" s="244">
        <f t="shared" si="116"/>
        <v>0.79448550425662667</v>
      </c>
      <c r="AD79" s="151">
        <f t="shared" si="116"/>
        <v>0.82120236836743321</v>
      </c>
      <c r="AE79" s="151">
        <f t="shared" si="116"/>
        <v>0.82855997741850462</v>
      </c>
      <c r="AF79" s="151">
        <f t="shared" si="116"/>
        <v>0.83559701783135409</v>
      </c>
      <c r="AG79" s="151">
        <f t="shared" si="116"/>
        <v>0.85937619827095146</v>
      </c>
      <c r="AH79" s="151">
        <f t="shared" si="116"/>
        <v>0.86461937657048815</v>
      </c>
      <c r="AI79" s="151">
        <f t="shared" si="116"/>
        <v>0.85503665702074494</v>
      </c>
      <c r="AJ79" s="151">
        <f t="shared" si="116"/>
        <v>0.86308415246560821</v>
      </c>
      <c r="AK79" s="151">
        <f t="shared" si="116"/>
        <v>0.87648933317238586</v>
      </c>
      <c r="AL79" s="151">
        <f t="shared" si="116"/>
        <v>0.88104384504293443</v>
      </c>
      <c r="AM79" s="151">
        <f t="shared" si="116"/>
        <v>0.87821765676228314</v>
      </c>
      <c r="AN79" s="151">
        <f t="shared" si="116"/>
        <v>0.87658681123971172</v>
      </c>
      <c r="AO79" s="151">
        <f t="shared" si="116"/>
        <v>0.90593681135062598</v>
      </c>
      <c r="AP79" s="151">
        <f t="shared" si="116"/>
        <v>0.91029971012951061</v>
      </c>
      <c r="AQ79" s="151">
        <f t="shared" si="116"/>
        <v>0.90583911099497361</v>
      </c>
      <c r="AR79" s="151">
        <f t="shared" si="116"/>
        <v>0.91555629518488946</v>
      </c>
      <c r="AS79" s="151">
        <f t="shared" si="116"/>
        <v>0.9128410238861081</v>
      </c>
      <c r="AT79" s="151">
        <f t="shared" ref="AT79:AU79" si="117">AT60/AT18</f>
        <v>0.90222758027400529</v>
      </c>
      <c r="AU79" s="151">
        <f t="shared" si="117"/>
        <v>0.90835469878993658</v>
      </c>
      <c r="AW79" s="36"/>
      <c r="BA79" s="44"/>
    </row>
    <row r="80" spans="1:61" x14ac:dyDescent="0.25">
      <c r="C80" s="116"/>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W80" s="36"/>
      <c r="BA80" s="44"/>
    </row>
    <row r="81" spans="1:56" x14ac:dyDescent="0.25">
      <c r="A81" s="43" t="s">
        <v>182</v>
      </c>
      <c r="C81" s="116"/>
      <c r="D81" s="121"/>
      <c r="E81" s="121"/>
      <c r="F81" s="121"/>
      <c r="G81" s="121"/>
      <c r="H81" s="151">
        <f>H61/D61-1</f>
        <v>-0.16768861636896826</v>
      </c>
      <c r="I81" s="151">
        <f t="shared" ref="I81:W81" si="118">I61/E61-1</f>
        <v>-0.12641083521444696</v>
      </c>
      <c r="J81" s="151">
        <f t="shared" si="118"/>
        <v>-0.17848643503093764</v>
      </c>
      <c r="K81" s="151">
        <f t="shared" si="118"/>
        <v>-0.18424855491329484</v>
      </c>
      <c r="L81" s="151">
        <f t="shared" si="118"/>
        <v>-8.6483023702754735E-3</v>
      </c>
      <c r="M81" s="151">
        <f t="shared" si="118"/>
        <v>-7.6370944587998868E-2</v>
      </c>
      <c r="N81" s="151">
        <f t="shared" si="118"/>
        <v>-1.5643105446118244E-2</v>
      </c>
      <c r="O81" s="151">
        <f t="shared" si="118"/>
        <v>-3.5429583702391465E-2</v>
      </c>
      <c r="P81" s="151">
        <f t="shared" si="118"/>
        <v>-3.1017770597738248E-2</v>
      </c>
      <c r="Q81" s="151">
        <f t="shared" si="118"/>
        <v>-0.16599316133043207</v>
      </c>
      <c r="R81" s="151">
        <f t="shared" si="118"/>
        <v>-0.28899352560329605</v>
      </c>
      <c r="S81" s="151">
        <f t="shared" si="118"/>
        <v>-0.3422099785736149</v>
      </c>
      <c r="T81" s="151">
        <f t="shared" si="118"/>
        <v>-0.35011670556852281</v>
      </c>
      <c r="U81" s="151">
        <f t="shared" si="118"/>
        <v>-0.3060007454342154</v>
      </c>
      <c r="V81" s="151">
        <f t="shared" si="118"/>
        <v>-0.27028145695364236</v>
      </c>
      <c r="W81" s="151">
        <f t="shared" si="118"/>
        <v>-0.17124243834341557</v>
      </c>
      <c r="X81" s="244">
        <f t="shared" ref="X81:AE81" si="119">X61/T61-1</f>
        <v>-0.28630066700872248</v>
      </c>
      <c r="Y81" s="244">
        <f t="shared" si="119"/>
        <v>-0.29377013963480125</v>
      </c>
      <c r="Z81" s="244">
        <f t="shared" si="119"/>
        <v>-0.42484401588201925</v>
      </c>
      <c r="AA81" s="244">
        <f t="shared" si="119"/>
        <v>-0.47782144862436837</v>
      </c>
      <c r="AB81" s="244">
        <f t="shared" si="119"/>
        <v>-0.46010064701653486</v>
      </c>
      <c r="AC81" s="244">
        <f t="shared" si="119"/>
        <v>-0.48212927756653989</v>
      </c>
      <c r="AD81" s="151">
        <f t="shared" si="119"/>
        <v>-0.39940828402366868</v>
      </c>
      <c r="AE81" s="151">
        <f t="shared" si="119"/>
        <v>-0.41182795698924735</v>
      </c>
      <c r="AF81" s="151">
        <f t="shared" ref="AF81" si="120">AF61/AB61-1</f>
        <v>-0.23010119840212995</v>
      </c>
      <c r="AG81" s="151">
        <f t="shared" ref="AG81" si="121">AG61/AC61-1</f>
        <v>-0.23609251101321649</v>
      </c>
      <c r="AH81" s="151">
        <f t="shared" ref="AH81" si="122">AH61/AD61-1</f>
        <v>-0.23638587848932646</v>
      </c>
      <c r="AI81" s="151">
        <f t="shared" ref="AI81:AU81" si="123">AI61/AE61-1</f>
        <v>-0.18592504570383916</v>
      </c>
      <c r="AJ81" s="151">
        <f t="shared" si="123"/>
        <v>-0.31588705520984328</v>
      </c>
      <c r="AK81" s="151">
        <f t="shared" si="123"/>
        <v>-0.26267297936838252</v>
      </c>
      <c r="AL81" s="151">
        <f t="shared" si="123"/>
        <v>-0.29939940779415175</v>
      </c>
      <c r="AM81" s="151">
        <f t="shared" si="123"/>
        <v>-0.34290667618835868</v>
      </c>
      <c r="AN81" s="151">
        <f t="shared" si="123"/>
        <v>0.44594109467829535</v>
      </c>
      <c r="AO81" s="151">
        <f t="shared" si="123"/>
        <v>-0.28896194466242553</v>
      </c>
      <c r="AP81" s="151">
        <f t="shared" si="123"/>
        <v>-0.20060587830869836</v>
      </c>
      <c r="AQ81" s="151">
        <f t="shared" si="123"/>
        <v>0.59920096513022592</v>
      </c>
      <c r="AR81" s="151">
        <f t="shared" si="123"/>
        <v>-0.3262096506289105</v>
      </c>
      <c r="AS81" s="151">
        <f t="shared" si="123"/>
        <v>0.40958072854602623</v>
      </c>
      <c r="AT81" s="151">
        <f t="shared" si="123"/>
        <v>0.41037208820153426</v>
      </c>
      <c r="AU81" s="151">
        <f t="shared" si="123"/>
        <v>-0.21337120216442351</v>
      </c>
      <c r="AW81" s="36"/>
      <c r="BA81" s="44"/>
    </row>
    <row r="82" spans="1:56" x14ac:dyDescent="0.25">
      <c r="A82" s="43" t="s">
        <v>183</v>
      </c>
      <c r="C82" s="116"/>
      <c r="D82" s="119"/>
      <c r="E82" s="151">
        <f t="shared" ref="E82:G82" si="124">E61/D61-1</f>
        <v>6.2916555585177392E-2</v>
      </c>
      <c r="F82" s="151">
        <f t="shared" si="124"/>
        <v>5.3925257085527978E-2</v>
      </c>
      <c r="G82" s="151">
        <f t="shared" si="124"/>
        <v>-1.1899095668729154E-2</v>
      </c>
      <c r="H82" s="151">
        <f>H61/G61-1</f>
        <v>-0.2480732177263969</v>
      </c>
      <c r="I82" s="151">
        <f t="shared" ref="I82:W82" si="125">I61/H61-1</f>
        <v>0.11563100576553498</v>
      </c>
      <c r="J82" s="151">
        <f t="shared" si="125"/>
        <v>-8.9003732414585368E-3</v>
      </c>
      <c r="K82" s="151">
        <f t="shared" si="125"/>
        <v>-1.8829663962920073E-2</v>
      </c>
      <c r="L82" s="151">
        <f t="shared" si="125"/>
        <v>-8.6211987009152669E-2</v>
      </c>
      <c r="M82" s="151">
        <f t="shared" si="125"/>
        <v>3.9418416801292322E-2</v>
      </c>
      <c r="N82" s="151">
        <f t="shared" si="125"/>
        <v>5.6263599626981575E-2</v>
      </c>
      <c r="O82" s="151">
        <f t="shared" si="125"/>
        <v>-3.8552089464390815E-2</v>
      </c>
      <c r="P82" s="151">
        <f t="shared" si="125"/>
        <v>-8.2032445668809295E-2</v>
      </c>
      <c r="Q82" s="151">
        <f t="shared" si="125"/>
        <v>-0.1053684561520507</v>
      </c>
      <c r="R82" s="151">
        <f t="shared" si="125"/>
        <v>-9.9515467759970222E-2</v>
      </c>
      <c r="S82" s="151">
        <f t="shared" si="125"/>
        <v>-0.11051324503311255</v>
      </c>
      <c r="T82" s="151">
        <f t="shared" si="125"/>
        <v>-9.3066542577943223E-2</v>
      </c>
      <c r="U82" s="151">
        <f t="shared" si="125"/>
        <v>-4.4638276038994396E-2</v>
      </c>
      <c r="V82" s="151">
        <f t="shared" si="125"/>
        <v>-5.316863587540277E-2</v>
      </c>
      <c r="W82" s="151">
        <f t="shared" si="125"/>
        <v>1.0209869540555916E-2</v>
      </c>
      <c r="X82" s="244">
        <f t="shared" ref="X82:AE82" si="126">X61/W61-1</f>
        <v>-0.21897810218978098</v>
      </c>
      <c r="Y82" s="244">
        <f t="shared" si="126"/>
        <v>-5.4636951833213487E-2</v>
      </c>
      <c r="Z82" s="244">
        <f t="shared" si="126"/>
        <v>-0.22889733840304183</v>
      </c>
      <c r="AA82" s="244">
        <f t="shared" si="126"/>
        <v>-8.2840236686390512E-2</v>
      </c>
      <c r="AB82" s="244">
        <f t="shared" si="126"/>
        <v>-0.19247311827956992</v>
      </c>
      <c r="AC82" s="244">
        <f t="shared" si="126"/>
        <v>-9.3209054593874852E-2</v>
      </c>
      <c r="AD82" s="151">
        <f t="shared" si="126"/>
        <v>-0.10572687224669608</v>
      </c>
      <c r="AE82" s="151">
        <f t="shared" si="126"/>
        <v>-0.10180623973727421</v>
      </c>
      <c r="AF82" s="151">
        <f t="shared" ref="AF82" si="127">AF61/AE61-1</f>
        <v>5.7027422303474351E-2</v>
      </c>
      <c r="AG82" s="151">
        <f t="shared" ref="AG82" si="128">AG61/AF61-1</f>
        <v>-0.10026565478023086</v>
      </c>
      <c r="AH82" s="151">
        <f t="shared" ref="AH82" si="129">AH61/AG61-1</f>
        <v>-0.10607030473587076</v>
      </c>
      <c r="AI82" s="151">
        <f t="shared" ref="AI82:AU82" si="130">AI61/AH61-1</f>
        <v>-4.2452170883857998E-2</v>
      </c>
      <c r="AJ82" s="151">
        <f t="shared" si="130"/>
        <v>-0.11172043952490307</v>
      </c>
      <c r="AK82" s="151">
        <f t="shared" si="130"/>
        <v>-3.0279357856149325E-2</v>
      </c>
      <c r="AL82" s="151">
        <f t="shared" si="130"/>
        <v>-0.15059714839157157</v>
      </c>
      <c r="AM82" s="151">
        <f t="shared" si="130"/>
        <v>-0.1019158522810979</v>
      </c>
      <c r="AN82" s="151">
        <f t="shared" si="130"/>
        <v>0.9546689541802369</v>
      </c>
      <c r="AO82" s="151">
        <f t="shared" si="130"/>
        <v>-0.5231422067272562</v>
      </c>
      <c r="AP82" s="151">
        <f t="shared" si="130"/>
        <v>-4.5047390323941117E-2</v>
      </c>
      <c r="AQ82" s="151">
        <f t="shared" si="130"/>
        <v>0.79663197017458409</v>
      </c>
      <c r="AR82" s="151">
        <f t="shared" si="130"/>
        <v>-0.1764405435844173</v>
      </c>
      <c r="AS82" s="151">
        <f t="shared" si="130"/>
        <v>-2.4054866893800098E-3</v>
      </c>
      <c r="AT82" s="151">
        <f t="shared" si="130"/>
        <v>-4.4511265678565781E-2</v>
      </c>
      <c r="AU82" s="151">
        <f t="shared" si="130"/>
        <v>2.0635395965424852E-3</v>
      </c>
      <c r="AW82" s="36"/>
      <c r="BA82" s="44"/>
    </row>
    <row r="83" spans="1:56" x14ac:dyDescent="0.25">
      <c r="C83" s="116"/>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W83" s="36"/>
      <c r="BA83" s="44"/>
    </row>
    <row r="84" spans="1:56" x14ac:dyDescent="0.25">
      <c r="A84" s="43" t="s">
        <v>69</v>
      </c>
      <c r="C84" s="116"/>
      <c r="D84" s="121"/>
      <c r="E84" s="121"/>
      <c r="F84" s="121"/>
      <c r="G84" s="121"/>
      <c r="H84" s="151">
        <f t="shared" ref="H84:W84" si="131">H40/D40-1</f>
        <v>0.105807743658211</v>
      </c>
      <c r="I84" s="151">
        <f t="shared" si="131"/>
        <v>0.26869009584664538</v>
      </c>
      <c r="J84" s="151">
        <f t="shared" si="131"/>
        <v>0.2052696078431373</v>
      </c>
      <c r="K84" s="151">
        <f t="shared" si="131"/>
        <v>0.125</v>
      </c>
      <c r="L84" s="151">
        <f t="shared" si="131"/>
        <v>8.7533957138545171E-2</v>
      </c>
      <c r="M84" s="151">
        <f t="shared" si="131"/>
        <v>-9.0405439435910395E-2</v>
      </c>
      <c r="N84" s="151">
        <f t="shared" si="131"/>
        <v>-7.6004067107269924E-2</v>
      </c>
      <c r="O84" s="151">
        <f t="shared" si="131"/>
        <v>4.1459369817578029E-3</v>
      </c>
      <c r="P84" s="151">
        <f t="shared" si="131"/>
        <v>-4.9680821537607556E-2</v>
      </c>
      <c r="Q84" s="151">
        <f t="shared" si="131"/>
        <v>-0.12153931339977853</v>
      </c>
      <c r="R84" s="151">
        <f t="shared" si="131"/>
        <v>-0.10591471801925723</v>
      </c>
      <c r="S84" s="151">
        <f t="shared" si="131"/>
        <v>-5.3949903660886367E-2</v>
      </c>
      <c r="T84" s="151">
        <f t="shared" si="131"/>
        <v>-1.7523364485981796E-3</v>
      </c>
      <c r="U84" s="151">
        <f t="shared" si="131"/>
        <v>0.13268200441222811</v>
      </c>
      <c r="V84" s="151">
        <f t="shared" si="131"/>
        <v>0.13538461538461544</v>
      </c>
      <c r="W84" s="151">
        <f t="shared" si="131"/>
        <v>0.12074483561245275</v>
      </c>
      <c r="X84" s="244">
        <f t="shared" ref="X84:AE84" si="132">X40/T40-1</f>
        <v>2.8379169104739699E-2</v>
      </c>
      <c r="Y84" s="244">
        <f t="shared" si="132"/>
        <v>-1.3633834168057857E-2</v>
      </c>
      <c r="Z84" s="244">
        <f t="shared" si="132"/>
        <v>-4.7425474254742528E-2</v>
      </c>
      <c r="AA84" s="244">
        <f t="shared" si="132"/>
        <v>-4.0758047767393557E-2</v>
      </c>
      <c r="AB84" s="244">
        <f t="shared" si="132"/>
        <v>4.950213371265999E-2</v>
      </c>
      <c r="AC84" s="244">
        <f t="shared" si="132"/>
        <v>7.700987306064877E-2</v>
      </c>
      <c r="AD84" s="151">
        <f t="shared" si="132"/>
        <v>9.6728307254623003E-2</v>
      </c>
      <c r="AE84" s="151">
        <f t="shared" si="132"/>
        <v>2.94993234100136E-2</v>
      </c>
      <c r="AF84" s="151">
        <f>(AF40-AF130)/AB40-1</f>
        <v>3.555814583898087E-2</v>
      </c>
      <c r="AG84" s="151">
        <f>(AG40-AG130)/AC40-1</f>
        <v>-1.0736773179675252E-2</v>
      </c>
      <c r="AH84" s="151">
        <f>(AH40-AH130)/AD40-1</f>
        <v>-4.977976653696492E-2</v>
      </c>
      <c r="AI84" s="151">
        <f>(AI40-AI130)/AE40-1</f>
        <v>-4.0539169295478406E-2</v>
      </c>
      <c r="AJ84" s="151">
        <f t="shared" ref="AJ84:AU84" si="133">AJ40/AF40-1</f>
        <v>-5.5716965061297863E-2</v>
      </c>
      <c r="AK84" s="151">
        <f t="shared" si="133"/>
        <v>2.4097539285521385E-2</v>
      </c>
      <c r="AL84" s="151">
        <f t="shared" si="133"/>
        <v>7.5403450633760416E-2</v>
      </c>
      <c r="AM84" s="151">
        <f t="shared" si="133"/>
        <v>0.12071658444144195</v>
      </c>
      <c r="AN84" s="151">
        <f t="shared" si="133"/>
        <v>0.14050522698200529</v>
      </c>
      <c r="AO84" s="151">
        <f t="shared" si="133"/>
        <v>0.12336872022615708</v>
      </c>
      <c r="AP84" s="151">
        <f t="shared" si="133"/>
        <v>0.13784763179051995</v>
      </c>
      <c r="AQ84" s="151">
        <f t="shared" si="133"/>
        <v>3.2395101841567797E-2</v>
      </c>
      <c r="AR84" s="151">
        <f t="shared" si="133"/>
        <v>0.1109881717582335</v>
      </c>
      <c r="AS84" s="151">
        <f t="shared" si="133"/>
        <v>9.9701031042616295E-2</v>
      </c>
      <c r="AT84" s="151">
        <f t="shared" si="133"/>
        <v>3.1634773159271212E-2</v>
      </c>
      <c r="AU84" s="151">
        <f t="shared" si="133"/>
        <v>0.17256366883448737</v>
      </c>
      <c r="BA84" s="44"/>
    </row>
    <row r="85" spans="1:56" x14ac:dyDescent="0.25">
      <c r="C85" s="116"/>
      <c r="D85" s="121"/>
      <c r="E85" s="121"/>
      <c r="F85" s="121"/>
      <c r="G85" s="121"/>
      <c r="H85" s="121"/>
      <c r="I85" s="121"/>
      <c r="J85" s="121"/>
      <c r="K85" s="121"/>
      <c r="L85" s="121"/>
      <c r="M85" s="121"/>
      <c r="N85" s="121"/>
      <c r="O85" s="121"/>
      <c r="P85" s="260"/>
      <c r="Q85" s="260"/>
      <c r="R85" s="260"/>
      <c r="S85" s="260"/>
      <c r="T85" s="260"/>
      <c r="U85" s="260"/>
      <c r="V85" s="260"/>
      <c r="W85" s="260"/>
      <c r="X85" s="260"/>
      <c r="Y85" s="260"/>
      <c r="Z85" s="260"/>
      <c r="AA85" s="260"/>
      <c r="AB85" s="260"/>
      <c r="AC85" s="260"/>
      <c r="AD85" s="260"/>
      <c r="AE85" s="260"/>
      <c r="AF85" s="260"/>
      <c r="AG85" s="260"/>
      <c r="AH85" s="260"/>
      <c r="AI85" s="260"/>
      <c r="AJ85" s="260"/>
      <c r="AK85" s="260"/>
      <c r="AL85" s="260"/>
      <c r="AM85" s="260"/>
      <c r="AN85" s="260"/>
      <c r="AO85" s="260"/>
      <c r="AP85" s="121"/>
      <c r="AQ85" s="121"/>
      <c r="AR85" s="260"/>
      <c r="AS85" s="260"/>
      <c r="AT85" s="260"/>
      <c r="AU85" s="121"/>
      <c r="AW85" s="36"/>
      <c r="BA85" s="44"/>
    </row>
    <row r="86" spans="1:56" x14ac:dyDescent="0.25">
      <c r="A86" s="36" t="s">
        <v>70</v>
      </c>
      <c r="B86" s="36"/>
      <c r="C86" s="122"/>
      <c r="D86" s="123"/>
      <c r="E86" s="124"/>
      <c r="F86" s="124"/>
      <c r="G86" s="124"/>
      <c r="H86" s="246">
        <f t="shared" ref="H86:W86" si="134">H42/D42-1</f>
        <v>8.6913580246913646E-2</v>
      </c>
      <c r="I86" s="246">
        <f t="shared" si="134"/>
        <v>-3.6465638148667656E-2</v>
      </c>
      <c r="J86" s="246">
        <f t="shared" si="134"/>
        <v>-8.603104212860313E-2</v>
      </c>
      <c r="K86" s="246">
        <f t="shared" si="134"/>
        <v>2.6785714285714191E-2</v>
      </c>
      <c r="L86" s="246">
        <f t="shared" si="134"/>
        <v>-0.14720581553839163</v>
      </c>
      <c r="M86" s="246">
        <f t="shared" si="134"/>
        <v>-2.959728287239205E-2</v>
      </c>
      <c r="N86" s="246">
        <f t="shared" si="134"/>
        <v>6.5502183406113579E-2</v>
      </c>
      <c r="O86" s="246">
        <f t="shared" si="134"/>
        <v>8.6956521739129933E-3</v>
      </c>
      <c r="P86" s="246">
        <f t="shared" si="134"/>
        <v>0.16782099094299419</v>
      </c>
      <c r="Q86" s="246">
        <f t="shared" si="134"/>
        <v>3.2499999999999973E-2</v>
      </c>
      <c r="R86" s="246">
        <f t="shared" si="134"/>
        <v>-9.8360655737704916E-2</v>
      </c>
      <c r="S86" s="246">
        <f t="shared" si="134"/>
        <v>-0.21551724137931039</v>
      </c>
      <c r="T86" s="246">
        <f t="shared" si="134"/>
        <v>-0.15693430656934304</v>
      </c>
      <c r="U86" s="245">
        <f t="shared" si="134"/>
        <v>3.8740920096851372E-3</v>
      </c>
      <c r="V86" s="245">
        <f t="shared" si="134"/>
        <v>0.15202020202020194</v>
      </c>
      <c r="W86" s="71">
        <f t="shared" si="134"/>
        <v>0.16428571428571437</v>
      </c>
      <c r="X86" s="71">
        <f t="shared" ref="X86:AH86" si="135">X42/T42-1</f>
        <v>7.4675324675324672E-2</v>
      </c>
      <c r="Y86" s="71">
        <f t="shared" si="135"/>
        <v>-3.5214664737096002E-2</v>
      </c>
      <c r="Z86" s="71">
        <f t="shared" si="135"/>
        <v>-4.6032441911442401E-2</v>
      </c>
      <c r="AA86" s="71">
        <f t="shared" si="135"/>
        <v>0.10948560641812177</v>
      </c>
      <c r="AB86" s="71">
        <f t="shared" si="135"/>
        <v>0.14753272910372606</v>
      </c>
      <c r="AC86" s="71">
        <f t="shared" si="135"/>
        <v>0.23550000000000004</v>
      </c>
      <c r="AD86" s="71">
        <f t="shared" si="135"/>
        <v>0.19852941176470584</v>
      </c>
      <c r="AE86" s="71">
        <f t="shared" si="135"/>
        <v>0.1093151850276477</v>
      </c>
      <c r="AF86" s="71">
        <f t="shared" si="135"/>
        <v>0.39710399297937693</v>
      </c>
      <c r="AG86" s="71">
        <f t="shared" si="135"/>
        <v>0.33791987049777417</v>
      </c>
      <c r="AH86" s="71">
        <f t="shared" si="135"/>
        <v>0.30559815950920255</v>
      </c>
      <c r="AI86" s="71">
        <f t="shared" ref="AI86:AU86" si="136">AI42/AE42-1</f>
        <v>0.2135736196319018</v>
      </c>
      <c r="AJ86" s="71">
        <f t="shared" si="136"/>
        <v>-2.0414572864321578E-2</v>
      </c>
      <c r="AK86" s="71">
        <f t="shared" si="136"/>
        <v>1.9056261343012748E-2</v>
      </c>
      <c r="AL86" s="71">
        <f t="shared" si="136"/>
        <v>3.8179148311305866E-3</v>
      </c>
      <c r="AM86" s="71">
        <f t="shared" si="136"/>
        <v>6.824644549763037E-2</v>
      </c>
      <c r="AN86" s="71">
        <f t="shared" si="136"/>
        <v>1.7633857005450393E-2</v>
      </c>
      <c r="AO86" s="71">
        <f t="shared" si="136"/>
        <v>5.6693380825170614E-2</v>
      </c>
      <c r="AP86" s="71">
        <f t="shared" si="136"/>
        <v>6.5827969572849643E-2</v>
      </c>
      <c r="AQ86" s="71">
        <f t="shared" si="136"/>
        <v>0.1410825199645076</v>
      </c>
      <c r="AR86" s="71">
        <f>AR42/AN42-1</f>
        <v>0.12885948330182728</v>
      </c>
      <c r="AS86" s="71">
        <f t="shared" si="136"/>
        <v>0.14297752808988773</v>
      </c>
      <c r="AT86" s="71">
        <f t="shared" si="136"/>
        <v>0.12626955805654672</v>
      </c>
      <c r="AU86" s="71">
        <f t="shared" si="136"/>
        <v>7.0502851218247731E-2</v>
      </c>
      <c r="AW86" s="36"/>
      <c r="BA86" s="44"/>
      <c r="BD86" s="302"/>
    </row>
    <row r="87" spans="1:56" x14ac:dyDescent="0.25">
      <c r="A87" s="43" t="s">
        <v>71</v>
      </c>
      <c r="C87" s="116"/>
      <c r="D87" s="121"/>
      <c r="E87" s="211">
        <f t="shared" ref="E87:W87" si="137">E42/D42-1</f>
        <v>5.6296296296296289E-2</v>
      </c>
      <c r="F87" s="211">
        <f t="shared" si="137"/>
        <v>5.423094904160819E-2</v>
      </c>
      <c r="G87" s="211">
        <f t="shared" si="137"/>
        <v>-6.6518847006651338E-3</v>
      </c>
      <c r="H87" s="211">
        <f t="shared" si="137"/>
        <v>-1.7410714285714279E-2</v>
      </c>
      <c r="I87" s="211">
        <f t="shared" si="137"/>
        <v>-6.3607451158564254E-2</v>
      </c>
      <c r="J87" s="211">
        <f t="shared" si="137"/>
        <v>0</v>
      </c>
      <c r="K87" s="211">
        <f t="shared" si="137"/>
        <v>0.11596312469674919</v>
      </c>
      <c r="L87" s="211">
        <f t="shared" si="137"/>
        <v>-0.18391304347826087</v>
      </c>
      <c r="M87" s="211">
        <f t="shared" si="137"/>
        <v>6.5530101225359516E-2</v>
      </c>
      <c r="N87" s="211">
        <f t="shared" si="137"/>
        <v>9.8000000000000087E-2</v>
      </c>
      <c r="O87" s="211">
        <f t="shared" si="137"/>
        <v>5.6466302367941701E-2</v>
      </c>
      <c r="P87" s="211">
        <f t="shared" si="137"/>
        <v>-5.5172413793103448E-2</v>
      </c>
      <c r="Q87" s="211">
        <f t="shared" si="137"/>
        <v>-5.7937956204379581E-2</v>
      </c>
      <c r="R87" s="211">
        <f t="shared" si="137"/>
        <v>-4.1162227602905554E-2</v>
      </c>
      <c r="S87" s="211">
        <f t="shared" si="137"/>
        <v>-8.0808080808080773E-2</v>
      </c>
      <c r="T87" s="211">
        <f t="shared" si="137"/>
        <v>1.538461538461533E-2</v>
      </c>
      <c r="U87" s="211">
        <f t="shared" si="137"/>
        <v>0.12175324675324672</v>
      </c>
      <c r="V87" s="211">
        <f t="shared" si="137"/>
        <v>0.10033767486734191</v>
      </c>
      <c r="W87" s="77">
        <f t="shared" si="137"/>
        <v>-7.1021481806225362E-2</v>
      </c>
      <c r="X87" s="77">
        <f t="shared" ref="X87:AH87" si="138">X42/W42-1</f>
        <v>-6.276545540349221E-2</v>
      </c>
      <c r="Y87" s="77">
        <f t="shared" si="138"/>
        <v>7.0493454179254567E-3</v>
      </c>
      <c r="Z87" s="77">
        <f t="shared" si="138"/>
        <v>8.8000000000000078E-2</v>
      </c>
      <c r="AA87" s="77">
        <f t="shared" si="138"/>
        <v>8.0422794117646967E-2</v>
      </c>
      <c r="AB87" s="77">
        <f t="shared" si="138"/>
        <v>-3.062526584432157E-2</v>
      </c>
      <c r="AC87" s="77">
        <f t="shared" si="138"/>
        <v>8.4247476963580592E-2</v>
      </c>
      <c r="AD87" s="77">
        <f t="shared" si="138"/>
        <v>5.5443140428976134E-2</v>
      </c>
      <c r="AE87" s="77">
        <f t="shared" si="138"/>
        <v>0</v>
      </c>
      <c r="AF87" s="77">
        <f t="shared" si="138"/>
        <v>0.22085889570552153</v>
      </c>
      <c r="AG87" s="77">
        <f t="shared" si="138"/>
        <v>3.831658291457285E-2</v>
      </c>
      <c r="AH87" s="77">
        <f t="shared" si="138"/>
        <v>2.9945553539020064E-2</v>
      </c>
      <c r="AI87" s="77">
        <f t="shared" ref="AI87:AU87" si="139">AI42/AH42-1</f>
        <v>-7.0484581497797349E-2</v>
      </c>
      <c r="AJ87" s="77">
        <f t="shared" si="139"/>
        <v>-1.4533965244865721E-2</v>
      </c>
      <c r="AK87" s="77">
        <f t="shared" si="139"/>
        <v>8.0153895479320392E-2</v>
      </c>
      <c r="AL87" s="77">
        <f t="shared" si="139"/>
        <v>1.4544375185514991E-2</v>
      </c>
      <c r="AM87" s="77">
        <f t="shared" si="139"/>
        <v>-1.0825043885313024E-2</v>
      </c>
      <c r="AN87" s="77">
        <f t="shared" si="139"/>
        <v>-6.1224489795918324E-2</v>
      </c>
      <c r="AO87" s="77">
        <f t="shared" si="139"/>
        <v>0.12161310649023305</v>
      </c>
      <c r="AP87" s="77">
        <f t="shared" si="139"/>
        <v>2.3314606741573041E-2</v>
      </c>
      <c r="AQ87" s="77">
        <f t="shared" si="139"/>
        <v>5.901729343947304E-2</v>
      </c>
      <c r="AR87" s="77">
        <f t="shared" si="139"/>
        <v>-7.1280456194919628E-2</v>
      </c>
      <c r="AS87" s="77">
        <f t="shared" si="139"/>
        <v>0.13564052469997212</v>
      </c>
      <c r="AT87" s="77">
        <f t="shared" si="139"/>
        <v>8.3558613910050816E-3</v>
      </c>
      <c r="AU87" s="77">
        <f t="shared" si="139"/>
        <v>6.5805508164757942E-3</v>
      </c>
      <c r="AW87" s="36"/>
      <c r="BA87" s="44"/>
    </row>
    <row r="88" spans="1:56" x14ac:dyDescent="0.25">
      <c r="C88" s="116"/>
      <c r="D88" s="121"/>
      <c r="E88" s="121"/>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243"/>
      <c r="AL88" s="121"/>
      <c r="AM88" s="121"/>
      <c r="AN88" s="243"/>
      <c r="AO88" s="243"/>
      <c r="AP88" s="121"/>
      <c r="AQ88" s="121"/>
      <c r="AR88" s="243"/>
      <c r="AS88" s="243"/>
      <c r="AT88" s="243"/>
      <c r="AU88" s="121"/>
      <c r="AW88" s="36"/>
      <c r="BA88" s="44"/>
    </row>
    <row r="89" spans="1:56" x14ac:dyDescent="0.25">
      <c r="A89" s="43" t="s">
        <v>21</v>
      </c>
      <c r="C89" s="116"/>
      <c r="D89" s="116"/>
      <c r="E89" s="116"/>
      <c r="F89" s="116"/>
      <c r="G89" s="119"/>
      <c r="H89" s="151">
        <f t="shared" ref="H89:W89" si="140">H46/D46-1</f>
        <v>0.17420814479638014</v>
      </c>
      <c r="I89" s="151">
        <f t="shared" si="140"/>
        <v>0.23376623376623384</v>
      </c>
      <c r="J89" s="151">
        <f t="shared" si="140"/>
        <v>0.21233312142403049</v>
      </c>
      <c r="K89" s="151">
        <f t="shared" si="140"/>
        <v>0.21031207598371782</v>
      </c>
      <c r="L89" s="151">
        <f t="shared" si="140"/>
        <v>0.1502890173410405</v>
      </c>
      <c r="M89" s="151">
        <f t="shared" si="140"/>
        <v>4.2105263157894646E-2</v>
      </c>
      <c r="N89" s="151">
        <f t="shared" si="140"/>
        <v>-0.11851074986890409</v>
      </c>
      <c r="O89" s="151">
        <f t="shared" si="140"/>
        <v>5.4372197309417114E-2</v>
      </c>
      <c r="P89" s="151">
        <f t="shared" si="140"/>
        <v>4.4667783361250768E-2</v>
      </c>
      <c r="Q89" s="151">
        <f t="shared" si="140"/>
        <v>0.17283950617283961</v>
      </c>
      <c r="R89" s="151">
        <f t="shared" si="140"/>
        <v>7.0791195716835231E-2</v>
      </c>
      <c r="S89" s="151">
        <f t="shared" si="140"/>
        <v>0.21477937267410963</v>
      </c>
      <c r="T89" s="151">
        <f t="shared" si="140"/>
        <v>-0.102618920363442</v>
      </c>
      <c r="U89" s="151">
        <f t="shared" si="140"/>
        <v>-0.18564593301435406</v>
      </c>
      <c r="V89" s="151">
        <f t="shared" si="140"/>
        <v>-5.2777777777777812E-2</v>
      </c>
      <c r="W89" s="151">
        <f t="shared" si="140"/>
        <v>-0.1838074398249453</v>
      </c>
      <c r="X89" s="244">
        <f t="shared" ref="X89:AH89" si="141">X46/T46-1</f>
        <v>0.10065515187611673</v>
      </c>
      <c r="Y89" s="244">
        <f t="shared" si="141"/>
        <v>8.9306698002350249E-2</v>
      </c>
      <c r="Z89" s="244">
        <f t="shared" si="141"/>
        <v>0.12844574780058648</v>
      </c>
      <c r="AA89" s="244">
        <f t="shared" si="141"/>
        <v>2.2144772117962468</v>
      </c>
      <c r="AB89" s="244">
        <f t="shared" si="141"/>
        <v>-4.166666666666663E-2</v>
      </c>
      <c r="AC89" s="244">
        <f t="shared" si="141"/>
        <v>-5.0161812297734643E-2</v>
      </c>
      <c r="AD89" s="151">
        <f t="shared" si="141"/>
        <v>-2.4428274428274444E-2</v>
      </c>
      <c r="AE89" s="151">
        <f t="shared" si="141"/>
        <v>-0.67406171809841542</v>
      </c>
      <c r="AF89" s="151">
        <f t="shared" si="141"/>
        <v>0.46981422924901173</v>
      </c>
      <c r="AG89" s="151">
        <f t="shared" si="141"/>
        <v>0.417747302668938</v>
      </c>
      <c r="AH89" s="151">
        <f t="shared" si="141"/>
        <v>0.24752530633990411</v>
      </c>
      <c r="AI89" s="151">
        <f t="shared" ref="AI89:AU89" si="142">AI46/AE46-1</f>
        <v>1.5657057318321397</v>
      </c>
      <c r="AJ89" s="151">
        <f t="shared" si="142"/>
        <v>-7.0342341899339966E-2</v>
      </c>
      <c r="AK89" s="151">
        <f t="shared" si="142"/>
        <v>1.1751733220437544E-3</v>
      </c>
      <c r="AL89" s="151">
        <f t="shared" si="142"/>
        <v>6.7676657677105734E-2</v>
      </c>
      <c r="AM89" s="151">
        <f t="shared" si="142"/>
        <v>-0.49402968730333896</v>
      </c>
      <c r="AN89" s="151">
        <f t="shared" si="142"/>
        <v>5.8237053278659801E-2</v>
      </c>
      <c r="AO89" s="151">
        <f t="shared" si="142"/>
        <v>1.4452387534420241E-2</v>
      </c>
      <c r="AP89" s="151">
        <f t="shared" si="142"/>
        <v>3.215300968730217E-2</v>
      </c>
      <c r="AQ89" s="151">
        <f t="shared" si="142"/>
        <v>0.13822652610199482</v>
      </c>
      <c r="AR89" s="151">
        <f t="shared" si="142"/>
        <v>6.9167200014682351E-2</v>
      </c>
      <c r="AS89" s="151">
        <f t="shared" si="142"/>
        <v>0.11611216100251154</v>
      </c>
      <c r="AT89" s="151">
        <f t="shared" si="142"/>
        <v>0.14582078713036695</v>
      </c>
      <c r="AU89" s="151">
        <f t="shared" si="142"/>
        <v>-2.2297303147800096E-2</v>
      </c>
      <c r="AW89" s="36"/>
      <c r="BA89" s="44"/>
    </row>
    <row r="90" spans="1:56" x14ac:dyDescent="0.25">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W90" s="36"/>
      <c r="BA90" s="44"/>
    </row>
    <row r="91" spans="1:56" x14ac:dyDescent="0.25">
      <c r="A91" s="43" t="s">
        <v>22</v>
      </c>
      <c r="C91" s="119"/>
      <c r="D91" s="151">
        <f t="shared" ref="D91:V91" si="143">SUM(D54)/D52</f>
        <v>-0.28828828828828829</v>
      </c>
      <c r="E91" s="151">
        <f t="shared" si="143"/>
        <v>-0.27607361963190186</v>
      </c>
      <c r="F91" s="151">
        <f t="shared" si="143"/>
        <v>-5.3846153846153849E-2</v>
      </c>
      <c r="G91" s="151">
        <f t="shared" si="143"/>
        <v>-0.40816326530612246</v>
      </c>
      <c r="H91" s="151">
        <f t="shared" si="143"/>
        <v>-0.35919055649241149</v>
      </c>
      <c r="I91" s="151">
        <f t="shared" si="143"/>
        <v>-0.20680147058823528</v>
      </c>
      <c r="J91" s="151">
        <f t="shared" si="143"/>
        <v>-0.27758620689655172</v>
      </c>
      <c r="K91" s="151">
        <f t="shared" si="143"/>
        <v>1.2</v>
      </c>
      <c r="L91" s="151">
        <f t="shared" si="143"/>
        <v>-0.25024727992087042</v>
      </c>
      <c r="M91" s="151">
        <f t="shared" si="143"/>
        <v>-0.60924369747899154</v>
      </c>
      <c r="N91" s="151">
        <f t="shared" si="143"/>
        <v>-6.7333333333333334</v>
      </c>
      <c r="O91" s="151">
        <f t="shared" si="143"/>
        <v>-0.29013254786450665</v>
      </c>
      <c r="P91" s="151">
        <f t="shared" si="143"/>
        <v>-0.29629629629629628</v>
      </c>
      <c r="Q91" s="151">
        <f t="shared" si="143"/>
        <v>-3</v>
      </c>
      <c r="R91" s="151">
        <f t="shared" si="143"/>
        <v>-0.2857142857142857</v>
      </c>
      <c r="S91" s="151">
        <f t="shared" si="143"/>
        <v>2.6271186440677967</v>
      </c>
      <c r="T91" s="151">
        <f t="shared" si="143"/>
        <v>-1.6301369863013699</v>
      </c>
      <c r="U91" s="151">
        <f t="shared" si="143"/>
        <v>-2.0202020202020204E-2</v>
      </c>
      <c r="V91" s="151">
        <f t="shared" si="143"/>
        <v>-0.42771084337349397</v>
      </c>
      <c r="W91" s="151">
        <f t="shared" ref="W91:X91" si="144">SUM(W54)/W52</f>
        <v>3.7241379310344827</v>
      </c>
      <c r="X91" s="244">
        <f t="shared" si="144"/>
        <v>-1.2253521126760563</v>
      </c>
      <c r="Y91" s="244">
        <f t="shared" ref="Y91:Z91" si="145">SUM(Y54)/Y52</f>
        <v>0.16867469879518071</v>
      </c>
      <c r="Z91" s="244">
        <f t="shared" si="145"/>
        <v>-0.46666666666666667</v>
      </c>
      <c r="AA91" s="244">
        <f t="shared" ref="AA91:AB91" si="146">SUM(AA54)/AA52</f>
        <v>-0.23532265890344492</v>
      </c>
      <c r="AB91" s="244">
        <f t="shared" si="146"/>
        <v>-0.31823599523241952</v>
      </c>
      <c r="AC91" s="244">
        <f t="shared" ref="AC91:AD91" si="147">SUM(AC54)/AC52</f>
        <v>-0.32105104198127449</v>
      </c>
      <c r="AD91" s="151">
        <f t="shared" si="147"/>
        <v>-0.36470588235294121</v>
      </c>
      <c r="AE91" s="151">
        <f t="shared" ref="AE91:AF91" si="148">SUM(AE54)/AE52</f>
        <v>-0.44987146529562982</v>
      </c>
      <c r="AF91" s="151">
        <f t="shared" si="148"/>
        <v>-1.6622953831741574E-2</v>
      </c>
      <c r="AG91" s="151">
        <f t="shared" ref="AG91:AH91" si="149">SUM(AG54)/AG52</f>
        <v>-0.41291328676827116</v>
      </c>
      <c r="AH91" s="151">
        <f t="shared" si="149"/>
        <v>-0.38223217618514393</v>
      </c>
      <c r="AI91" s="151">
        <f t="shared" ref="AI91:AJ91" si="150">SUM(AI54)/AI52</f>
        <v>-0.26494327589272931</v>
      </c>
      <c r="AJ91" s="151">
        <f t="shared" si="150"/>
        <v>-0.1757352903414664</v>
      </c>
      <c r="AK91" s="151">
        <f t="shared" ref="AK91:AL91" si="151">SUM(AK54)/AK52</f>
        <v>-0.12772915879966701</v>
      </c>
      <c r="AL91" s="151">
        <f t="shared" si="151"/>
        <v>-0.27503661065116225</v>
      </c>
      <c r="AM91" s="151">
        <f t="shared" ref="AM91:AP91" si="152">SUM(AM54)/AM52</f>
        <v>-0.39970804989289965</v>
      </c>
      <c r="AN91" s="151">
        <f t="shared" si="152"/>
        <v>-0.1923398522785339</v>
      </c>
      <c r="AO91" s="151">
        <f t="shared" si="152"/>
        <v>-0.1402244425814855</v>
      </c>
      <c r="AP91" s="151">
        <f t="shared" si="152"/>
        <v>-0.20112087194209949</v>
      </c>
      <c r="AQ91" s="151">
        <f t="shared" ref="AQ91:AS91" si="153">SUM(AQ54)/AQ52</f>
        <v>-0.113764439744602</v>
      </c>
      <c r="AR91" s="151">
        <f t="shared" si="153"/>
        <v>-0.14131728468270682</v>
      </c>
      <c r="AS91" s="151">
        <f t="shared" si="153"/>
        <v>-0.19840121933106544</v>
      </c>
      <c r="AT91" s="151">
        <f t="shared" ref="AT91:AU91" si="154">SUM(AT54)/AT52</f>
        <v>-0.19266631486682306</v>
      </c>
      <c r="AU91" s="151">
        <f t="shared" si="154"/>
        <v>-0.41434267336329178</v>
      </c>
      <c r="AW91" s="36"/>
      <c r="BA91" s="44"/>
    </row>
    <row r="92" spans="1:56" x14ac:dyDescent="0.25">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W92" s="36"/>
      <c r="BA92" s="44"/>
    </row>
    <row r="93" spans="1:56" x14ac:dyDescent="0.25">
      <c r="A93" s="43" t="s">
        <v>61</v>
      </c>
      <c r="C93" s="116"/>
      <c r="D93" s="116"/>
      <c r="E93" s="116"/>
      <c r="F93" s="116"/>
      <c r="G93" s="119"/>
      <c r="H93" s="151">
        <f t="shared" ref="H93:V93" si="155">H56/D56-1</f>
        <v>0.20253164556962022</v>
      </c>
      <c r="I93" s="151">
        <f t="shared" si="155"/>
        <v>-3.4378531073446328</v>
      </c>
      <c r="J93" s="151">
        <f t="shared" si="155"/>
        <v>-2.7032520325203251</v>
      </c>
      <c r="K93" s="151">
        <f t="shared" si="155"/>
        <v>-0.90517241379310343</v>
      </c>
      <c r="L93" s="151">
        <f t="shared" si="155"/>
        <v>-2.9947368421052634</v>
      </c>
      <c r="M93" s="151">
        <f t="shared" si="155"/>
        <v>-0.89223638470451916</v>
      </c>
      <c r="N93" s="151">
        <f t="shared" si="155"/>
        <v>-1.8210023866348448</v>
      </c>
      <c r="O93" s="151">
        <f t="shared" si="155"/>
        <v>42.81818181818182</v>
      </c>
      <c r="P93" s="151">
        <f t="shared" si="155"/>
        <v>-1.225593667546174</v>
      </c>
      <c r="Q93" s="151">
        <f t="shared" si="155"/>
        <v>-1.5806451612903225</v>
      </c>
      <c r="R93" s="151">
        <f t="shared" si="155"/>
        <v>-1.1889534883720931</v>
      </c>
      <c r="S93" s="151">
        <f t="shared" si="155"/>
        <v>-0.55601659751037347</v>
      </c>
      <c r="T93" s="151">
        <f t="shared" si="155"/>
        <v>-0.73099415204678364</v>
      </c>
      <c r="U93" s="151">
        <f t="shared" si="155"/>
        <v>0.79629629629629628</v>
      </c>
      <c r="V93" s="151">
        <f t="shared" si="155"/>
        <v>-2.4615384615384617</v>
      </c>
      <c r="W93" s="151">
        <f t="shared" ref="W93:AH93" si="156">W56/S56-1</f>
        <v>-0.35981308411214952</v>
      </c>
      <c r="X93" s="244">
        <f t="shared" si="156"/>
        <v>-0.67391304347826086</v>
      </c>
      <c r="Y93" s="244">
        <f t="shared" si="156"/>
        <v>-2</v>
      </c>
      <c r="Z93" s="244">
        <f t="shared" si="156"/>
        <v>-1.6736842105263157</v>
      </c>
      <c r="AA93" s="244">
        <f t="shared" si="156"/>
        <v>-24.007299270072991</v>
      </c>
      <c r="AB93" s="244">
        <f t="shared" si="156"/>
        <v>2.8</v>
      </c>
      <c r="AC93" s="244">
        <f t="shared" si="156"/>
        <v>-3.3195876288659796</v>
      </c>
      <c r="AD93" s="151">
        <f t="shared" si="156"/>
        <v>-4.375</v>
      </c>
      <c r="AE93" s="151">
        <f t="shared" si="156"/>
        <v>-1.0678934010152283</v>
      </c>
      <c r="AF93" s="151">
        <f t="shared" si="156"/>
        <v>25.666666666666668</v>
      </c>
      <c r="AG93" s="151">
        <f t="shared" si="156"/>
        <v>-4.4444444444444731E-3</v>
      </c>
      <c r="AH93" s="151">
        <f t="shared" si="156"/>
        <v>0.53240740740740744</v>
      </c>
      <c r="AI93" s="151">
        <f t="shared" ref="AI93:AU93" si="157">AI56/AE56-1</f>
        <v>-8.9579439252336446</v>
      </c>
      <c r="AJ93" s="151">
        <f t="shared" si="157"/>
        <v>-0.78881578947368425</v>
      </c>
      <c r="AK93" s="151">
        <f t="shared" si="157"/>
        <v>0.76339285714285721</v>
      </c>
      <c r="AL93" s="151">
        <f t="shared" si="157"/>
        <v>-9.3655589123867067E-2</v>
      </c>
      <c r="AM93" s="151">
        <f t="shared" si="157"/>
        <v>-1.1591309453904874</v>
      </c>
      <c r="AN93" s="151">
        <f t="shared" si="157"/>
        <v>-0.56669158878504666</v>
      </c>
      <c r="AO93" s="151">
        <f t="shared" si="157"/>
        <v>0.2099240506329112</v>
      </c>
      <c r="AP93" s="151">
        <f t="shared" si="157"/>
        <v>0.2392000000000003</v>
      </c>
      <c r="AQ93" s="151">
        <f t="shared" si="157"/>
        <v>-0.51138007380073791</v>
      </c>
      <c r="AR93" s="151">
        <f t="shared" si="157"/>
        <v>0.46791332355563209</v>
      </c>
      <c r="AS93" s="151">
        <f t="shared" si="157"/>
        <v>-5.1412370271175067E-2</v>
      </c>
      <c r="AT93" s="151">
        <f t="shared" si="157"/>
        <v>-2.8784699806327141E-2</v>
      </c>
      <c r="AU93" s="151">
        <f t="shared" si="157"/>
        <v>1.0078011720637994</v>
      </c>
      <c r="AW93" s="36"/>
      <c r="BA93" s="44"/>
    </row>
    <row r="94" spans="1:56" x14ac:dyDescent="0.25">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W94" s="36"/>
      <c r="BA94" s="44"/>
    </row>
    <row r="95" spans="1:56" x14ac:dyDescent="0.25">
      <c r="A95" s="36" t="s">
        <v>127</v>
      </c>
      <c r="B95" s="36"/>
      <c r="C95" s="127"/>
      <c r="D95" s="127"/>
      <c r="E95" s="127"/>
      <c r="F95" s="127"/>
      <c r="G95" s="127"/>
      <c r="H95" s="282">
        <f t="shared" ref="H95:V95" si="158">H57/D57-1</f>
        <v>0.20253164556962022</v>
      </c>
      <c r="I95" s="282">
        <f t="shared" si="158"/>
        <v>-3.4378531073446328</v>
      </c>
      <c r="J95" s="282">
        <f t="shared" si="158"/>
        <v>-2.7032520325203251</v>
      </c>
      <c r="K95" s="282">
        <f t="shared" si="158"/>
        <v>-0.90517241379310343</v>
      </c>
      <c r="L95" s="282">
        <f t="shared" si="158"/>
        <v>-1.0894736842105264</v>
      </c>
      <c r="M95" s="282">
        <f t="shared" si="158"/>
        <v>-1.1367323290845888</v>
      </c>
      <c r="N95" s="282">
        <f t="shared" si="158"/>
        <v>-0.9761336515513126</v>
      </c>
      <c r="O95" s="282">
        <f t="shared" si="158"/>
        <v>-3.0909090909090908</v>
      </c>
      <c r="P95" s="282">
        <f t="shared" si="158"/>
        <v>3.6764705882352944</v>
      </c>
      <c r="Q95" s="282">
        <f t="shared" si="158"/>
        <v>-0.84745762711864403</v>
      </c>
      <c r="R95" s="282">
        <f t="shared" si="158"/>
        <v>-6.6</v>
      </c>
      <c r="S95" s="282">
        <f t="shared" si="158"/>
        <v>4.3913043478260869</v>
      </c>
      <c r="T95" s="282">
        <f t="shared" si="158"/>
        <v>-1.1257861635220126</v>
      </c>
      <c r="U95" s="282">
        <f t="shared" si="158"/>
        <v>4.2222222222222223</v>
      </c>
      <c r="V95" s="282">
        <f t="shared" si="158"/>
        <v>3</v>
      </c>
      <c r="W95" s="283">
        <f t="shared" ref="W95:AH95" si="159">W57/S57-1</f>
        <v>-4.241935483870968</v>
      </c>
      <c r="X95" s="283">
        <f t="shared" si="159"/>
        <v>5.0000000000000044E-2</v>
      </c>
      <c r="Y95" s="283">
        <f t="shared" si="159"/>
        <v>-1.9042553191489362</v>
      </c>
      <c r="Z95" s="283">
        <f t="shared" si="159"/>
        <v>-1.1205357142857142</v>
      </c>
      <c r="AA95" s="283">
        <f t="shared" si="159"/>
        <v>-0.85572139303482586</v>
      </c>
      <c r="AB95" s="283">
        <f t="shared" si="159"/>
        <v>2.2857142857142856</v>
      </c>
      <c r="AC95" s="283">
        <f t="shared" si="159"/>
        <v>-3.6235294117647059</v>
      </c>
      <c r="AD95" s="283">
        <f t="shared" si="159"/>
        <v>-8.9259259259259256</v>
      </c>
      <c r="AE95" s="283">
        <f t="shared" si="159"/>
        <v>2.6896551724137931</v>
      </c>
      <c r="AF95" s="283">
        <f t="shared" si="159"/>
        <v>0.6376811594202898</v>
      </c>
      <c r="AG95" s="283">
        <f t="shared" si="159"/>
        <v>-0.35426008968609868</v>
      </c>
      <c r="AH95" s="283">
        <f t="shared" si="159"/>
        <v>0.54672897196261672</v>
      </c>
      <c r="AI95" s="283">
        <f t="shared" ref="AI95:AT95" si="160">AI57/AE57-1</f>
        <v>-0.22429906542056077</v>
      </c>
      <c r="AJ95" s="283">
        <f t="shared" si="160"/>
        <v>1.0353982300884956</v>
      </c>
      <c r="AK95" s="283">
        <f t="shared" si="160"/>
        <v>1.3125</v>
      </c>
      <c r="AL95" s="283">
        <f t="shared" si="160"/>
        <v>-0.17824773413897277</v>
      </c>
      <c r="AM95" s="283">
        <f t="shared" si="160"/>
        <v>0.62048192771084332</v>
      </c>
      <c r="AN95" s="283">
        <f t="shared" si="160"/>
        <v>-0.25652173913043474</v>
      </c>
      <c r="AO95" s="283">
        <f t="shared" si="160"/>
        <v>0.33933933933933935</v>
      </c>
      <c r="AP95" s="283">
        <f t="shared" si="160"/>
        <v>0.36676470588235333</v>
      </c>
      <c r="AQ95" s="283">
        <f>AQ57/AM57-1</f>
        <v>-0.50774721189591077</v>
      </c>
      <c r="AR95" s="283">
        <f t="shared" si="160"/>
        <v>0.19400584795321651</v>
      </c>
      <c r="AS95" s="283">
        <f t="shared" si="160"/>
        <v>1.6477578475336374E-2</v>
      </c>
      <c r="AT95" s="283">
        <f t="shared" si="160"/>
        <v>-2.8784699806327141E-2</v>
      </c>
      <c r="AU95" s="283">
        <f>AU57/AQ57-1</f>
        <v>1.0078011720637994</v>
      </c>
      <c r="AW95" s="36"/>
      <c r="BA95" s="44"/>
    </row>
    <row r="96" spans="1:56" x14ac:dyDescent="0.25">
      <c r="C96" s="119"/>
      <c r="D96" s="119"/>
      <c r="E96" s="119"/>
      <c r="F96" s="119"/>
      <c r="G96" s="119"/>
      <c r="H96" s="119"/>
      <c r="I96" s="119"/>
      <c r="J96" s="119"/>
      <c r="K96" s="119"/>
      <c r="L96" s="119"/>
      <c r="M96" s="119"/>
      <c r="N96" s="119"/>
      <c r="O96" s="119"/>
      <c r="P96" s="119"/>
      <c r="Q96" s="119"/>
      <c r="R96" s="119"/>
      <c r="S96" s="119"/>
      <c r="T96" s="119"/>
      <c r="U96" s="119"/>
      <c r="V96" s="119"/>
      <c r="W96" s="119"/>
      <c r="X96" s="120"/>
      <c r="Y96" s="120"/>
      <c r="Z96" s="120"/>
      <c r="AA96" s="120"/>
      <c r="AB96" s="120"/>
      <c r="AC96" s="120"/>
      <c r="AD96" s="119"/>
      <c r="AE96" s="119"/>
      <c r="AF96" s="119"/>
      <c r="AG96" s="119"/>
      <c r="AH96" s="119"/>
      <c r="AI96" s="119"/>
      <c r="AJ96" s="119"/>
      <c r="AK96" s="119"/>
      <c r="AL96" s="119"/>
      <c r="AM96" s="119"/>
      <c r="AN96" s="119"/>
      <c r="AO96" s="119"/>
      <c r="AP96" s="119"/>
      <c r="AQ96" s="119"/>
      <c r="AR96" s="119"/>
      <c r="AS96" s="119"/>
      <c r="AT96" s="119"/>
      <c r="AU96" s="119"/>
      <c r="AW96" s="36"/>
      <c r="BA96" s="44"/>
    </row>
    <row r="97" spans="1:61" x14ac:dyDescent="0.25">
      <c r="A97" s="36" t="s">
        <v>144</v>
      </c>
      <c r="B97" s="36"/>
      <c r="C97" s="118"/>
      <c r="D97" s="145">
        <f>D42-'Reported Group Balance Sheet'!D54</f>
        <v>234</v>
      </c>
      <c r="E97" s="145">
        <f>E42-'Reported Group Balance Sheet'!E54</f>
        <v>577</v>
      </c>
      <c r="F97" s="145">
        <f>F42-'Reported Group Balance Sheet'!F54</f>
        <v>709</v>
      </c>
      <c r="G97" s="145">
        <f>G42-'Reported Group Balance Sheet'!G54</f>
        <v>207</v>
      </c>
      <c r="H97" s="145">
        <f>H42-'Reported Group Balance Sheet'!H54</f>
        <v>454</v>
      </c>
      <c r="I97" s="145">
        <f>I42-'Reported Group Balance Sheet'!I54</f>
        <v>743</v>
      </c>
      <c r="J97" s="145">
        <f>J42-'Reported Group Balance Sheet'!J54</f>
        <v>767</v>
      </c>
      <c r="K97" s="145">
        <f>K42-'Reported Group Balance Sheet'!K54</f>
        <v>910</v>
      </c>
      <c r="L97" s="145">
        <f>L42-'Reported Group Balance Sheet'!L54</f>
        <v>666</v>
      </c>
      <c r="M97" s="145">
        <f>M42-'Reported Group Balance Sheet'!M54</f>
        <v>321</v>
      </c>
      <c r="N97" s="145">
        <f>N42-'Reported Group Balance Sheet'!N54</f>
        <v>756</v>
      </c>
      <c r="O97" s="145">
        <f>O42-'Reported Group Balance Sheet'!O54</f>
        <v>1802</v>
      </c>
      <c r="P97" s="145">
        <f>P42-'Reported Group Balance Sheet'!P54</f>
        <v>1144</v>
      </c>
      <c r="Q97" s="145">
        <f>Q42-'Reported Group Balance Sheet'!Q54</f>
        <v>850</v>
      </c>
      <c r="R97" s="145">
        <f>R42-'Reported Group Balance Sheet'!R54</f>
        <v>793</v>
      </c>
      <c r="S97" s="145">
        <f>S42-'Reported Group Balance Sheet'!S54</f>
        <v>-1204</v>
      </c>
      <c r="T97" s="145">
        <f>T42-'Reported Group Balance Sheet'!T54</f>
        <v>877</v>
      </c>
      <c r="U97" s="145">
        <f>U42-'Reported Group Balance Sheet'!U54</f>
        <v>-496</v>
      </c>
      <c r="V97" s="145">
        <f>V42-'Reported Group Balance Sheet'!V54</f>
        <v>876</v>
      </c>
      <c r="W97" s="284">
        <f>W42-'Reported Group Balance Sheet'!W54</f>
        <v>-126</v>
      </c>
      <c r="X97" s="284">
        <f>X42-'Reported Group Balance Sheet'!X54</f>
        <v>427</v>
      </c>
      <c r="Y97" s="284">
        <f>Y42-'Reported Group Balance Sheet'!Y54</f>
        <v>288</v>
      </c>
      <c r="Z97" s="284">
        <f>Z42-'Reported Group Balance Sheet'!Z54</f>
        <v>507</v>
      </c>
      <c r="AA97" s="284">
        <f>AA42-'Reported Group Balance Sheet'!AA54</f>
        <v>499</v>
      </c>
      <c r="AB97" s="284">
        <f>AB42-'Reported Group Balance Sheet'!AB54</f>
        <v>768</v>
      </c>
      <c r="AC97" s="284">
        <f>AC42-'Reported Group Balance Sheet'!AC54</f>
        <v>376</v>
      </c>
      <c r="AD97" s="284">
        <f>AD42-'Reported Group Balance Sheet'!AD54</f>
        <v>699</v>
      </c>
      <c r="AE97" s="284">
        <f>AE42-'Reported Group Balance Sheet'!AE54</f>
        <v>127</v>
      </c>
      <c r="AF97" s="284">
        <f>AF42-'Reported Group Balance Sheet'!AF54</f>
        <v>1400</v>
      </c>
      <c r="AG97" s="284">
        <f>AG42-'Reported Group Balance Sheet'!AG54</f>
        <v>1355</v>
      </c>
      <c r="AH97" s="284">
        <f>AH42-'Reported Group Balance Sheet'!AH54</f>
        <v>2071</v>
      </c>
      <c r="AI97" s="284">
        <f>AI42-'Reported Group Balance Sheet'!AI54</f>
        <v>2079</v>
      </c>
      <c r="AJ97" s="284">
        <f>AJ42-'Reported Group Balance Sheet'!AJ54</f>
        <v>1403</v>
      </c>
      <c r="AK97" s="284">
        <f>AK42-'Reported Group Balance Sheet'!AK54</f>
        <v>512</v>
      </c>
      <c r="AL97" s="284">
        <f>AL42-'Reported Group Balance Sheet'!AL54</f>
        <v>1635</v>
      </c>
      <c r="AM97" s="284">
        <f>AM42-'Reported Group Balance Sheet'!AY54</f>
        <v>3381</v>
      </c>
      <c r="AN97" s="284">
        <f>AN42-'Reported Group Balance Sheet'!AZ54</f>
        <v>3174</v>
      </c>
      <c r="AO97" s="284">
        <f>AO42-'Reported Group Balance Sheet'!AP54</f>
        <v>457.53800000000047</v>
      </c>
      <c r="AP97" s="284">
        <f>AP42-'Reported Group Balance Sheet'!BB54</f>
        <v>3643</v>
      </c>
      <c r="AQ97" s="284">
        <f>AQ42-'Reported Group Balance Sheet'!BC54</f>
        <v>3858</v>
      </c>
      <c r="AR97" s="284">
        <f>AR42-'Reported Group Balance Sheet'!BD54</f>
        <v>3583</v>
      </c>
      <c r="AS97" s="284">
        <f>AS42-'Reported Group Balance Sheet'!BE54</f>
        <v>4069</v>
      </c>
      <c r="AT97" s="284">
        <f>AT42-'Reported Group Balance Sheet'!BF54</f>
        <v>4103</v>
      </c>
      <c r="AU97" s="284">
        <f>AU42-'Reported Group Balance Sheet'!BG54</f>
        <v>4130</v>
      </c>
      <c r="AW97" s="36"/>
      <c r="BA97" s="44"/>
    </row>
    <row r="98" spans="1:61" x14ac:dyDescent="0.25">
      <c r="A98" s="43" t="s">
        <v>111</v>
      </c>
      <c r="C98" s="119"/>
      <c r="D98" s="119"/>
      <c r="E98" s="119"/>
      <c r="F98" s="119"/>
      <c r="G98" s="119"/>
      <c r="H98" s="151">
        <f t="shared" ref="H98" si="161">H97/D97-1</f>
        <v>0.94017094017094016</v>
      </c>
      <c r="I98" s="151">
        <f t="shared" ref="I98" si="162">I97/E97-1</f>
        <v>0.28769497400346622</v>
      </c>
      <c r="J98" s="151">
        <f t="shared" ref="J98" si="163">J97/F97-1</f>
        <v>8.1805359661495158E-2</v>
      </c>
      <c r="K98" s="151">
        <f t="shared" ref="K98" si="164">K97/G97-1</f>
        <v>3.3961352657004831</v>
      </c>
      <c r="L98" s="151">
        <f t="shared" ref="L98" si="165">L97/H97-1</f>
        <v>0.46696035242290757</v>
      </c>
      <c r="M98" s="151">
        <f t="shared" ref="M98" si="166">M97/I97-1</f>
        <v>-0.56796769851951545</v>
      </c>
      <c r="N98" s="151">
        <f t="shared" ref="N98" si="167">N97/J97-1</f>
        <v>-1.4341590612777066E-2</v>
      </c>
      <c r="O98" s="151">
        <f t="shared" ref="O98" si="168">O97/K97-1</f>
        <v>0.98021978021978029</v>
      </c>
      <c r="P98" s="151">
        <f t="shared" ref="P98" si="169">P97/L97-1</f>
        <v>0.71771771771771764</v>
      </c>
      <c r="Q98" s="151">
        <f t="shared" ref="Q98" si="170">Q97/M97-1</f>
        <v>1.64797507788162</v>
      </c>
      <c r="R98" s="151">
        <f t="shared" ref="R98" si="171">R97/N97-1</f>
        <v>4.8941798941798842E-2</v>
      </c>
      <c r="S98" s="151">
        <f t="shared" ref="S98" si="172">S97/O97-1</f>
        <v>-1.6681465038845729</v>
      </c>
      <c r="T98" s="151">
        <f t="shared" ref="T98:W98" si="173">T97/P97-1</f>
        <v>-0.23339160839160844</v>
      </c>
      <c r="U98" s="151">
        <f t="shared" si="173"/>
        <v>-1.5835294117647059</v>
      </c>
      <c r="V98" s="151">
        <f t="shared" si="173"/>
        <v>0.10466582597730145</v>
      </c>
      <c r="W98" s="151">
        <f t="shared" si="173"/>
        <v>-0.89534883720930236</v>
      </c>
      <c r="X98" s="244">
        <f t="shared" ref="X98:AH98" si="174">X97/T97-1</f>
        <v>-0.51311288483466355</v>
      </c>
      <c r="Y98" s="244">
        <f t="shared" si="174"/>
        <v>-1.5806451612903225</v>
      </c>
      <c r="Z98" s="244">
        <f t="shared" si="174"/>
        <v>-0.42123287671232879</v>
      </c>
      <c r="AA98" s="244">
        <f t="shared" si="174"/>
        <v>-4.9603174603174605</v>
      </c>
      <c r="AB98" s="244">
        <f t="shared" si="174"/>
        <v>0.79859484777517564</v>
      </c>
      <c r="AC98" s="244">
        <f t="shared" si="174"/>
        <v>0.30555555555555558</v>
      </c>
      <c r="AD98" s="151">
        <f t="shared" si="174"/>
        <v>0.37869822485207094</v>
      </c>
      <c r="AE98" s="151">
        <f t="shared" si="174"/>
        <v>-0.74549098196392793</v>
      </c>
      <c r="AF98" s="151">
        <f t="shared" si="174"/>
        <v>0.82291666666666674</v>
      </c>
      <c r="AG98" s="151">
        <f t="shared" si="174"/>
        <v>2.603723404255319</v>
      </c>
      <c r="AH98" s="151">
        <f t="shared" si="174"/>
        <v>1.9628040057224605</v>
      </c>
      <c r="AI98" s="151">
        <f>AI97/AE97-1</f>
        <v>15.370078740157481</v>
      </c>
      <c r="AJ98" s="151">
        <f t="shared" ref="AJ98:AL98" si="175">AJ97/AF97-1</f>
        <v>2.1428571428572241E-3</v>
      </c>
      <c r="AK98" s="151">
        <f t="shared" si="175"/>
        <v>-0.62214022140221403</v>
      </c>
      <c r="AL98" s="151">
        <f t="shared" si="175"/>
        <v>-0.21052631578947367</v>
      </c>
      <c r="AM98" s="151">
        <f>AM97/AI97-1</f>
        <v>0.6262626262626263</v>
      </c>
      <c r="AN98" s="151">
        <f>AN97/AJ97-1</f>
        <v>1.262295081967213</v>
      </c>
      <c r="AO98" s="151">
        <f t="shared" ref="AO98" si="176">AO97/AK97-1</f>
        <v>-0.10637109374999909</v>
      </c>
      <c r="AP98" s="151">
        <f t="shared" ref="AP98:AU98" si="177">AP97/AL97-1</f>
        <v>1.2281345565749238</v>
      </c>
      <c r="AQ98" s="151">
        <f t="shared" si="177"/>
        <v>0.1410825199645076</v>
      </c>
      <c r="AR98" s="151">
        <f t="shared" si="177"/>
        <v>0.12885948330182728</v>
      </c>
      <c r="AS98" s="151">
        <f t="shared" si="177"/>
        <v>7.8932503966883534</v>
      </c>
      <c r="AT98" s="151">
        <f t="shared" si="177"/>
        <v>0.12626955805654672</v>
      </c>
      <c r="AU98" s="151">
        <f t="shared" si="177"/>
        <v>7.0502851218247731E-2</v>
      </c>
      <c r="AW98" s="36"/>
      <c r="BA98" s="44"/>
    </row>
    <row r="99" spans="1:61" x14ac:dyDescent="0.25">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W99" s="36"/>
      <c r="BA99" s="44"/>
    </row>
    <row r="100" spans="1:61" s="114" customFormat="1" x14ac:dyDescent="0.25">
      <c r="A100" s="112" t="s">
        <v>150</v>
      </c>
      <c r="B100" s="112"/>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2"/>
      <c r="AW100" s="112"/>
      <c r="AY100" s="154"/>
      <c r="AZ100" s="392"/>
      <c r="BA100" s="115"/>
      <c r="BB100" s="154"/>
      <c r="BC100" s="408"/>
      <c r="BD100" s="154"/>
      <c r="BE100" s="154"/>
      <c r="BF100" s="154"/>
      <c r="BG100" s="154"/>
      <c r="BH100" s="154"/>
      <c r="BI100" s="154"/>
    </row>
    <row r="101" spans="1:61" x14ac:dyDescent="0.25">
      <c r="A101" s="43" t="s">
        <v>83</v>
      </c>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W101" s="36"/>
      <c r="BA101" s="44"/>
    </row>
    <row r="102" spans="1:61" x14ac:dyDescent="0.25">
      <c r="A102" s="48" t="s">
        <v>324</v>
      </c>
      <c r="B102" s="48"/>
      <c r="C102" s="116"/>
      <c r="D102" s="116"/>
      <c r="E102" s="116"/>
      <c r="F102" s="116"/>
      <c r="G102" s="116"/>
      <c r="H102" s="151">
        <f t="shared" ref="H102:Q106" si="178">H35/D35-1</f>
        <v>-0.10828025477707004</v>
      </c>
      <c r="I102" s="151">
        <f t="shared" si="178"/>
        <v>-9.4552929085303217E-2</v>
      </c>
      <c r="J102" s="151">
        <f t="shared" si="178"/>
        <v>-0.10548523206751059</v>
      </c>
      <c r="K102" s="151">
        <f t="shared" si="178"/>
        <v>-8.8064889918887612E-2</v>
      </c>
      <c r="L102" s="151">
        <f t="shared" si="178"/>
        <v>-0.14761904761904765</v>
      </c>
      <c r="M102" s="151">
        <f t="shared" si="178"/>
        <v>-0.41657207718501699</v>
      </c>
      <c r="N102" s="151">
        <f t="shared" si="178"/>
        <v>-0.37028301886792447</v>
      </c>
      <c r="O102" s="151">
        <f t="shared" si="178"/>
        <v>-0.29224904701397714</v>
      </c>
      <c r="P102" s="151">
        <f t="shared" si="178"/>
        <v>-0.43575418994413406</v>
      </c>
      <c r="Q102" s="151">
        <f t="shared" si="178"/>
        <v>-0.1867704280155642</v>
      </c>
      <c r="R102" s="151">
        <f t="shared" ref="R102:AA106" si="179">R35/N35-1</f>
        <v>-1.4981273408239737E-2</v>
      </c>
      <c r="S102" s="151">
        <f t="shared" si="179"/>
        <v>3.9497307001795434E-2</v>
      </c>
      <c r="T102" s="151">
        <f t="shared" si="179"/>
        <v>0.63118811881188108</v>
      </c>
      <c r="U102" s="151">
        <f t="shared" si="179"/>
        <v>0.50717703349282295</v>
      </c>
      <c r="V102" s="151">
        <f t="shared" si="179"/>
        <v>0.18631178707224327</v>
      </c>
      <c r="W102" s="151">
        <f t="shared" si="179"/>
        <v>-5.6994818652849721E-2</v>
      </c>
      <c r="X102" s="244">
        <f t="shared" si="179"/>
        <v>-0.2625189681335357</v>
      </c>
      <c r="Y102" s="244">
        <f t="shared" si="179"/>
        <v>-2.8571428571428581E-2</v>
      </c>
      <c r="Z102" s="244">
        <f t="shared" si="179"/>
        <v>0.11217948717948723</v>
      </c>
      <c r="AA102" s="244">
        <f t="shared" si="179"/>
        <v>0.15201465201465192</v>
      </c>
      <c r="AB102" s="244">
        <f t="shared" ref="AB102:AK106" si="180">AB35/X35-1</f>
        <v>-8.2304526748971152E-2</v>
      </c>
      <c r="AC102" s="244">
        <f t="shared" si="180"/>
        <v>-0.15686274509803921</v>
      </c>
      <c r="AD102" s="151">
        <f t="shared" si="180"/>
        <v>-0.28674351585014413</v>
      </c>
      <c r="AE102" s="151">
        <f t="shared" si="180"/>
        <v>-0.27186009538950717</v>
      </c>
      <c r="AF102" s="151">
        <f t="shared" si="180"/>
        <v>-3.5558295964125519E-2</v>
      </c>
      <c r="AG102" s="151">
        <f t="shared" si="180"/>
        <v>-0.25097286821705433</v>
      </c>
      <c r="AH102" s="151">
        <f t="shared" si="180"/>
        <v>-0.22585454545454575</v>
      </c>
      <c r="AI102" s="151">
        <f t="shared" si="180"/>
        <v>-0.21200218340611365</v>
      </c>
      <c r="AJ102" s="151">
        <f t="shared" si="180"/>
        <v>-0.2067461599800996</v>
      </c>
      <c r="AK102" s="151">
        <f t="shared" si="180"/>
        <v>-9.6574885251670017E-2</v>
      </c>
      <c r="AL102" s="151">
        <f t="shared" ref="AL102:AU106" si="181">AL35/AH35-1</f>
        <v>-0.10958450112473261</v>
      </c>
      <c r="AM102" s="151">
        <f t="shared" si="181"/>
        <v>0.39806817898438096</v>
      </c>
      <c r="AN102" s="151">
        <f t="shared" si="181"/>
        <v>0.36622207373150339</v>
      </c>
      <c r="AO102" s="151">
        <f t="shared" si="181"/>
        <v>0.95126757013735319</v>
      </c>
      <c r="AP102" s="151">
        <f t="shared" si="181"/>
        <v>1.5502258146766343</v>
      </c>
      <c r="AQ102" s="151">
        <f t="shared" si="181"/>
        <v>0.7020910998935721</v>
      </c>
      <c r="AR102" s="151">
        <f t="shared" si="181"/>
        <v>0.39188707982066617</v>
      </c>
      <c r="AS102" s="151">
        <f t="shared" si="181"/>
        <v>0.30286734142733041</v>
      </c>
      <c r="AT102" s="151">
        <f t="shared" si="181"/>
        <v>-9.9434586742667919E-2</v>
      </c>
      <c r="AU102" s="151">
        <f t="shared" si="181"/>
        <v>-7.8840826763266758E-3</v>
      </c>
      <c r="AW102" s="36"/>
      <c r="BA102" s="44"/>
    </row>
    <row r="103" spans="1:61" x14ac:dyDescent="0.25">
      <c r="A103" s="48" t="s">
        <v>325</v>
      </c>
      <c r="B103" s="48"/>
      <c r="C103" s="116"/>
      <c r="D103" s="116"/>
      <c r="E103" s="116"/>
      <c r="F103" s="116"/>
      <c r="G103" s="116"/>
      <c r="H103" s="151">
        <f t="shared" si="178"/>
        <v>0.14893617021276606</v>
      </c>
      <c r="I103" s="151">
        <f t="shared" si="178"/>
        <v>0.29411764705882359</v>
      </c>
      <c r="J103" s="151">
        <f t="shared" si="178"/>
        <v>0.30341880341880345</v>
      </c>
      <c r="K103" s="151">
        <f t="shared" si="178"/>
        <v>0.20434782608695645</v>
      </c>
      <c r="L103" s="151">
        <f t="shared" si="178"/>
        <v>-5.555555555555558E-2</v>
      </c>
      <c r="M103" s="151">
        <f t="shared" si="178"/>
        <v>-0.11363636363636365</v>
      </c>
      <c r="N103" s="151">
        <f t="shared" si="178"/>
        <v>-8.8524590163934436E-2</v>
      </c>
      <c r="O103" s="151">
        <f t="shared" si="178"/>
        <v>2.1660649819494671E-2</v>
      </c>
      <c r="P103" s="151">
        <f t="shared" si="178"/>
        <v>0.2823529411764707</v>
      </c>
      <c r="Q103" s="151">
        <f t="shared" si="178"/>
        <v>2.564102564102555E-2</v>
      </c>
      <c r="R103" s="151">
        <f t="shared" si="179"/>
        <v>-6.4748201438848962E-2</v>
      </c>
      <c r="S103" s="151">
        <f t="shared" si="179"/>
        <v>2.4734982332155431E-2</v>
      </c>
      <c r="T103" s="151">
        <f t="shared" si="179"/>
        <v>-0.21406727828746175</v>
      </c>
      <c r="U103" s="151">
        <f t="shared" si="179"/>
        <v>-6.7857142857142838E-2</v>
      </c>
      <c r="V103" s="151">
        <f t="shared" si="179"/>
        <v>8.0769230769230704E-2</v>
      </c>
      <c r="W103" s="151">
        <f t="shared" si="179"/>
        <v>0.90344827586206899</v>
      </c>
      <c r="X103" s="244">
        <f t="shared" si="179"/>
        <v>2.3346303501945442E-2</v>
      </c>
      <c r="Y103" s="244">
        <f t="shared" si="179"/>
        <v>1.1494252873563315E-2</v>
      </c>
      <c r="Z103" s="244">
        <f t="shared" si="179"/>
        <v>-0.16725978647686834</v>
      </c>
      <c r="AA103" s="244">
        <f t="shared" si="179"/>
        <v>-0.5</v>
      </c>
      <c r="AB103" s="244">
        <f t="shared" si="180"/>
        <v>0.14448669201520903</v>
      </c>
      <c r="AC103" s="244">
        <f t="shared" si="180"/>
        <v>0.2234848484848484</v>
      </c>
      <c r="AD103" s="151">
        <f t="shared" si="180"/>
        <v>0.41025641025641035</v>
      </c>
      <c r="AE103" s="151">
        <f t="shared" si="180"/>
        <v>0.17753623188405787</v>
      </c>
      <c r="AF103" s="151">
        <f t="shared" si="180"/>
        <v>1.9933554817275656E-2</v>
      </c>
      <c r="AG103" s="151">
        <f t="shared" si="180"/>
        <v>-5.8823529411764719E-2</v>
      </c>
      <c r="AH103" s="151">
        <f t="shared" si="180"/>
        <v>3.4036363636363642E-2</v>
      </c>
      <c r="AI103" s="151">
        <f t="shared" si="180"/>
        <v>-9.1323076923078839E-3</v>
      </c>
      <c r="AJ103" s="151">
        <f t="shared" si="180"/>
        <v>-0.23362214983713359</v>
      </c>
      <c r="AK103" s="151">
        <f t="shared" si="180"/>
        <v>0.11385197368421052</v>
      </c>
      <c r="AL103" s="151">
        <f t="shared" si="181"/>
        <v>-0.32581352276457076</v>
      </c>
      <c r="AM103" s="151">
        <f t="shared" si="181"/>
        <v>-0.15580439211010078</v>
      </c>
      <c r="AN103" s="151">
        <f t="shared" si="181"/>
        <v>0.25649231972390107</v>
      </c>
      <c r="AO103" s="151">
        <f t="shared" si="181"/>
        <v>-0.19629013824122665</v>
      </c>
      <c r="AP103" s="151">
        <f t="shared" si="181"/>
        <v>0.41319864031922937</v>
      </c>
      <c r="AQ103" s="151">
        <f t="shared" si="181"/>
        <v>0.59144479838739383</v>
      </c>
      <c r="AR103" s="151">
        <f t="shared" si="181"/>
        <v>0.11979365750528537</v>
      </c>
      <c r="AS103" s="151">
        <f t="shared" si="181"/>
        <v>0.35361663818920075</v>
      </c>
      <c r="AT103" s="151">
        <f t="shared" si="181"/>
        <v>0.1068770146903224</v>
      </c>
      <c r="AU103" s="151">
        <f t="shared" si="181"/>
        <v>-0.20728908324800632</v>
      </c>
      <c r="AW103" s="36"/>
      <c r="BA103" s="44"/>
    </row>
    <row r="104" spans="1:61" x14ac:dyDescent="0.25">
      <c r="A104" s="48" t="s">
        <v>326</v>
      </c>
      <c r="B104" s="48"/>
      <c r="C104" s="116"/>
      <c r="D104" s="116"/>
      <c r="E104" s="116"/>
      <c r="F104" s="116"/>
      <c r="G104" s="116"/>
      <c r="H104" s="151">
        <f t="shared" si="178"/>
        <v>-9.5092024539877307E-2</v>
      </c>
      <c r="I104" s="151">
        <f t="shared" si="178"/>
        <v>-2.9325513196480912E-3</v>
      </c>
      <c r="J104" s="151">
        <f t="shared" si="178"/>
        <v>1.0695187165775444E-2</v>
      </c>
      <c r="K104" s="151">
        <f t="shared" si="178"/>
        <v>0.30891719745222934</v>
      </c>
      <c r="L104" s="151">
        <f t="shared" si="178"/>
        <v>-0.22033898305084743</v>
      </c>
      <c r="M104" s="151">
        <f t="shared" si="178"/>
        <v>-0.25</v>
      </c>
      <c r="N104" s="151">
        <f t="shared" si="178"/>
        <v>-0.19841269841269837</v>
      </c>
      <c r="O104" s="151">
        <f t="shared" si="178"/>
        <v>-0.17518248175182483</v>
      </c>
      <c r="P104" s="151">
        <f t="shared" si="178"/>
        <v>0.43043478260869561</v>
      </c>
      <c r="Q104" s="151">
        <f t="shared" si="178"/>
        <v>6.6666666666666652E-2</v>
      </c>
      <c r="R104" s="151">
        <f t="shared" si="179"/>
        <v>0.27062706270627057</v>
      </c>
      <c r="S104" s="151">
        <f t="shared" si="179"/>
        <v>0.31858407079646023</v>
      </c>
      <c r="T104" s="151">
        <f t="shared" si="179"/>
        <v>-0.16717325227963531</v>
      </c>
      <c r="U104" s="151">
        <f t="shared" si="179"/>
        <v>0.54044117647058831</v>
      </c>
      <c r="V104" s="151">
        <f t="shared" si="179"/>
        <v>7.2727272727272751E-2</v>
      </c>
      <c r="W104" s="151">
        <f t="shared" si="179"/>
        <v>0.14093959731543615</v>
      </c>
      <c r="X104" s="244">
        <f t="shared" si="179"/>
        <v>1.0912408759124088</v>
      </c>
      <c r="Y104" s="244">
        <f t="shared" si="179"/>
        <v>0.36992840095465396</v>
      </c>
      <c r="Z104" s="244">
        <f t="shared" si="179"/>
        <v>6.0532687651331685E-2</v>
      </c>
      <c r="AA104" s="244">
        <f t="shared" si="179"/>
        <v>-0.1098039215686275</v>
      </c>
      <c r="AB104" s="244">
        <f t="shared" si="180"/>
        <v>-0.20244328097731235</v>
      </c>
      <c r="AC104" s="244">
        <f t="shared" si="180"/>
        <v>-0.14634146341463417</v>
      </c>
      <c r="AD104" s="151">
        <f t="shared" si="180"/>
        <v>0.12328767123287676</v>
      </c>
      <c r="AE104" s="151">
        <f t="shared" si="180"/>
        <v>0.16960352422907499</v>
      </c>
      <c r="AF104" s="151">
        <f t="shared" si="180"/>
        <v>-8.7527352297592786E-3</v>
      </c>
      <c r="AG104" s="151">
        <f t="shared" si="180"/>
        <v>-0.11224489795918369</v>
      </c>
      <c r="AH104" s="151">
        <f t="shared" si="180"/>
        <v>-4.5243902439024319E-2</v>
      </c>
      <c r="AI104" s="151">
        <f t="shared" si="180"/>
        <v>-0.15731261770244798</v>
      </c>
      <c r="AJ104" s="151">
        <f t="shared" si="180"/>
        <v>0.15924724061810158</v>
      </c>
      <c r="AK104" s="151">
        <f t="shared" si="180"/>
        <v>0.47132873563218358</v>
      </c>
      <c r="AL104" s="151">
        <f t="shared" si="181"/>
        <v>0.53756120407033725</v>
      </c>
      <c r="AM104" s="151">
        <f t="shared" si="181"/>
        <v>0.5186415981513719</v>
      </c>
      <c r="AN104" s="151">
        <f t="shared" si="181"/>
        <v>0.38751644802614171</v>
      </c>
      <c r="AO104" s="151">
        <f t="shared" si="181"/>
        <v>2.3103676714143706E-2</v>
      </c>
      <c r="AP104" s="151">
        <f t="shared" si="181"/>
        <v>-0.18029391322166444</v>
      </c>
      <c r="AQ104" s="151">
        <f t="shared" si="181"/>
        <v>-5.4498471029016726E-2</v>
      </c>
      <c r="AR104" s="151">
        <f t="shared" si="181"/>
        <v>-0.22402314452012584</v>
      </c>
      <c r="AS104" s="151">
        <f t="shared" si="181"/>
        <v>-6.3469834991562335E-2</v>
      </c>
      <c r="AT104" s="151">
        <f t="shared" si="181"/>
        <v>5.7207669803862826E-2</v>
      </c>
      <c r="AU104" s="151">
        <f t="shared" si="181"/>
        <v>1.1985842977831451E-2</v>
      </c>
      <c r="BA104" s="44"/>
    </row>
    <row r="105" spans="1:61" x14ac:dyDescent="0.25">
      <c r="A105" s="48" t="s">
        <v>318</v>
      </c>
      <c r="B105" s="48"/>
      <c r="C105" s="116"/>
      <c r="D105" s="116"/>
      <c r="E105" s="116"/>
      <c r="F105" s="116"/>
      <c r="G105" s="116"/>
      <c r="H105" s="151">
        <f t="shared" si="178"/>
        <v>0.31478770131771605</v>
      </c>
      <c r="I105" s="151">
        <f t="shared" si="178"/>
        <v>0.53990284524635679</v>
      </c>
      <c r="J105" s="151">
        <f t="shared" si="178"/>
        <v>0.44175684277530225</v>
      </c>
      <c r="K105" s="151">
        <f t="shared" si="178"/>
        <v>0.18192844147968468</v>
      </c>
      <c r="L105" s="151">
        <f t="shared" si="178"/>
        <v>0.25055679287305122</v>
      </c>
      <c r="M105" s="151">
        <f t="shared" si="178"/>
        <v>6.6696710229833256E-2</v>
      </c>
      <c r="N105" s="151">
        <f t="shared" si="178"/>
        <v>4.2825607064017612E-2</v>
      </c>
      <c r="O105" s="151">
        <f t="shared" si="178"/>
        <v>0.18573627501282708</v>
      </c>
      <c r="P105" s="151">
        <f t="shared" si="178"/>
        <v>-1.291184327693673E-2</v>
      </c>
      <c r="Q105" s="151">
        <f t="shared" si="178"/>
        <v>-0.11364596535699201</v>
      </c>
      <c r="R105" s="151">
        <f t="shared" si="179"/>
        <v>-0.16807790008467405</v>
      </c>
      <c r="S105" s="151">
        <f t="shared" si="179"/>
        <v>-0.13933362180874076</v>
      </c>
      <c r="T105" s="151">
        <f t="shared" si="179"/>
        <v>-4.9616599007668016E-2</v>
      </c>
      <c r="U105" s="151">
        <f t="shared" si="179"/>
        <v>1.096282173498575E-2</v>
      </c>
      <c r="V105" s="151">
        <f t="shared" si="179"/>
        <v>0.13027989821882957</v>
      </c>
      <c r="W105" s="151">
        <f t="shared" si="179"/>
        <v>6.9381598793363475E-2</v>
      </c>
      <c r="X105" s="244">
        <f t="shared" si="179"/>
        <v>-1.0915994304698584E-2</v>
      </c>
      <c r="Y105" s="244">
        <f t="shared" si="179"/>
        <v>-6.4592173503064565E-2</v>
      </c>
      <c r="Z105" s="244">
        <f t="shared" si="179"/>
        <v>-1.2156686177397513E-2</v>
      </c>
      <c r="AA105" s="244">
        <f t="shared" si="179"/>
        <v>2.9619181946403339E-2</v>
      </c>
      <c r="AB105" s="244">
        <f t="shared" si="180"/>
        <v>0.1113243761996161</v>
      </c>
      <c r="AC105" s="244">
        <f t="shared" si="180"/>
        <v>0.18598790322580649</v>
      </c>
      <c r="AD105" s="151">
        <f t="shared" si="180"/>
        <v>0.10574293527803102</v>
      </c>
      <c r="AE105" s="151">
        <f t="shared" si="180"/>
        <v>8.4931506849315053E-2</v>
      </c>
      <c r="AF105" s="151">
        <f t="shared" si="180"/>
        <v>-0.12270854922279795</v>
      </c>
      <c r="AG105" s="151">
        <f t="shared" si="180"/>
        <v>-0.11894857628559286</v>
      </c>
      <c r="AH105" s="151">
        <f t="shared" si="180"/>
        <v>-0.21548928276999157</v>
      </c>
      <c r="AI105" s="151">
        <f t="shared" si="180"/>
        <v>-0.17277272727272719</v>
      </c>
      <c r="AJ105" s="151">
        <f t="shared" si="180"/>
        <v>-2.8435771704694468E-2</v>
      </c>
      <c r="AK105" s="151">
        <f t="shared" si="180"/>
        <v>-5.8003081354908503E-2</v>
      </c>
      <c r="AL105" s="151">
        <f t="shared" si="181"/>
        <v>6.3184398254959806E-2</v>
      </c>
      <c r="AM105" s="151">
        <f t="shared" si="181"/>
        <v>3.7483235749623978E-2</v>
      </c>
      <c r="AN105" s="151">
        <f t="shared" si="181"/>
        <v>9.0834439783367138E-3</v>
      </c>
      <c r="AO105" s="151">
        <f t="shared" si="181"/>
        <v>6.0603205441025931E-2</v>
      </c>
      <c r="AP105" s="151">
        <f t="shared" si="181"/>
        <v>-6.0900123895653024E-3</v>
      </c>
      <c r="AQ105" s="151">
        <f t="shared" si="181"/>
        <v>-0.18613059757302597</v>
      </c>
      <c r="AR105" s="151">
        <f t="shared" si="181"/>
        <v>0.1726970695224106</v>
      </c>
      <c r="AS105" s="151">
        <f t="shared" si="181"/>
        <v>3.3560462278940273E-2</v>
      </c>
      <c r="AT105" s="151">
        <f t="shared" si="181"/>
        <v>8.4482839205749727E-2</v>
      </c>
      <c r="AU105" s="151">
        <f t="shared" si="181"/>
        <v>0.40869382880597538</v>
      </c>
      <c r="BA105" s="44"/>
    </row>
    <row r="106" spans="1:61" x14ac:dyDescent="0.25">
      <c r="A106" s="128" t="s">
        <v>327</v>
      </c>
      <c r="B106" s="128"/>
      <c r="C106" s="116"/>
      <c r="D106" s="116"/>
      <c r="E106" s="116"/>
      <c r="F106" s="116"/>
      <c r="G106" s="116"/>
      <c r="H106" s="151">
        <f t="shared" si="178"/>
        <v>-0.11811023622047245</v>
      </c>
      <c r="I106" s="151">
        <f t="shared" si="178"/>
        <v>0.62773722627737216</v>
      </c>
      <c r="J106" s="151">
        <f t="shared" si="178"/>
        <v>7.2992700729928028E-3</v>
      </c>
      <c r="K106" s="151">
        <f t="shared" si="178"/>
        <v>0.21249999999999991</v>
      </c>
      <c r="L106" s="151">
        <f t="shared" si="178"/>
        <v>0.39285714285714279</v>
      </c>
      <c r="M106" s="151">
        <f t="shared" si="178"/>
        <v>-8.9686098654708557E-2</v>
      </c>
      <c r="N106" s="151">
        <f t="shared" si="178"/>
        <v>0.14492753623188404</v>
      </c>
      <c r="O106" s="151">
        <f t="shared" si="178"/>
        <v>-0.26288659793814428</v>
      </c>
      <c r="P106" s="151">
        <f t="shared" si="178"/>
        <v>-5.7692307692307709E-2</v>
      </c>
      <c r="Q106" s="151">
        <f t="shared" si="178"/>
        <v>-0.48275862068965514</v>
      </c>
      <c r="R106" s="151">
        <f t="shared" si="179"/>
        <v>-0.27848101265822789</v>
      </c>
      <c r="S106" s="151">
        <f t="shared" si="179"/>
        <v>-7.6923076923076872E-2</v>
      </c>
      <c r="T106" s="151">
        <f t="shared" si="179"/>
        <v>-0.1768707482993197</v>
      </c>
      <c r="U106" s="151">
        <f t="shared" si="179"/>
        <v>0.55238095238095242</v>
      </c>
      <c r="V106" s="151">
        <f t="shared" si="179"/>
        <v>0.32456140350877183</v>
      </c>
      <c r="W106" s="151">
        <f t="shared" si="179"/>
        <v>-0.11363636363636365</v>
      </c>
      <c r="X106" s="244">
        <f t="shared" si="179"/>
        <v>-9.0909090909090939E-2</v>
      </c>
      <c r="Y106" s="244">
        <f t="shared" si="179"/>
        <v>-0.32515337423312884</v>
      </c>
      <c r="Z106" s="244">
        <f t="shared" si="179"/>
        <v>-0.27152317880794707</v>
      </c>
      <c r="AA106" s="244">
        <f t="shared" si="179"/>
        <v>0.24786324786324787</v>
      </c>
      <c r="AB106" s="244">
        <f t="shared" si="180"/>
        <v>0.53636363636363638</v>
      </c>
      <c r="AC106" s="244">
        <f t="shared" si="180"/>
        <v>0.23636363636363633</v>
      </c>
      <c r="AD106" s="244">
        <f t="shared" si="180"/>
        <v>1.8181818181818077E-2</v>
      </c>
      <c r="AE106" s="244">
        <f t="shared" si="180"/>
        <v>-0.21917808219178081</v>
      </c>
      <c r="AF106" s="244">
        <f t="shared" si="180"/>
        <v>-0.46020118343195271</v>
      </c>
      <c r="AG106" s="244">
        <f t="shared" si="180"/>
        <v>-0.40886029411764713</v>
      </c>
      <c r="AH106" s="244">
        <f t="shared" si="180"/>
        <v>-0.35980357142857133</v>
      </c>
      <c r="AI106" s="244">
        <f t="shared" si="180"/>
        <v>-0.19390350877192963</v>
      </c>
      <c r="AJ106" s="244">
        <f t="shared" si="180"/>
        <v>-0.41995702979413763</v>
      </c>
      <c r="AK106" s="244">
        <f t="shared" si="180"/>
        <v>-3.7937682691709607E-2</v>
      </c>
      <c r="AL106" s="244">
        <f t="shared" si="181"/>
        <v>0.27006220189116048</v>
      </c>
      <c r="AM106" s="244">
        <f t="shared" si="181"/>
        <v>-0.15690733989879746</v>
      </c>
      <c r="AN106" s="244">
        <f t="shared" si="181"/>
        <v>0.6206935651516583</v>
      </c>
      <c r="AO106" s="244">
        <f t="shared" si="181"/>
        <v>0.19972848923653741</v>
      </c>
      <c r="AP106" s="244">
        <f t="shared" si="181"/>
        <v>-0.12820372037862682</v>
      </c>
      <c r="AQ106" s="244">
        <f t="shared" si="181"/>
        <v>0.22302390417677698</v>
      </c>
      <c r="AR106" s="244">
        <f t="shared" si="181"/>
        <v>-3.324432421086998E-2</v>
      </c>
      <c r="AS106" s="244">
        <f t="shared" si="181"/>
        <v>0.49103919476684688</v>
      </c>
      <c r="AT106" s="244">
        <f t="shared" si="181"/>
        <v>-0.36937436233326193</v>
      </c>
      <c r="AU106" s="244">
        <f t="shared" si="181"/>
        <v>0.49552002532847883</v>
      </c>
      <c r="AW106" s="36"/>
      <c r="BA106" s="44"/>
    </row>
    <row r="107" spans="1:61" s="36" customFormat="1" x14ac:dyDescent="0.25">
      <c r="A107" s="315" t="s">
        <v>390</v>
      </c>
      <c r="B107" s="315"/>
      <c r="C107" s="122"/>
      <c r="D107" s="122"/>
      <c r="E107" s="122"/>
      <c r="F107" s="122"/>
      <c r="G107" s="122"/>
      <c r="H107" s="246"/>
      <c r="I107" s="246"/>
      <c r="J107" s="246"/>
      <c r="K107" s="246"/>
      <c r="L107" s="246"/>
      <c r="M107" s="246"/>
      <c r="N107" s="246"/>
      <c r="O107" s="246"/>
      <c r="P107" s="246"/>
      <c r="Q107" s="246"/>
      <c r="R107" s="246"/>
      <c r="S107" s="246"/>
      <c r="T107" s="246"/>
      <c r="U107" s="246"/>
      <c r="V107" s="246"/>
      <c r="W107" s="246"/>
      <c r="X107" s="245">
        <f>X40/T40-1</f>
        <v>2.8379169104739699E-2</v>
      </c>
      <c r="Y107" s="245">
        <f t="shared" ref="Y107:AU107" si="182">Y40/U40-1</f>
        <v>-1.3633834168057857E-2</v>
      </c>
      <c r="Z107" s="245">
        <f t="shared" si="182"/>
        <v>-4.7425474254742528E-2</v>
      </c>
      <c r="AA107" s="245">
        <f t="shared" si="182"/>
        <v>-4.0758047767393557E-2</v>
      </c>
      <c r="AB107" s="245">
        <f t="shared" si="182"/>
        <v>4.950213371265999E-2</v>
      </c>
      <c r="AC107" s="245">
        <f t="shared" si="182"/>
        <v>7.700987306064877E-2</v>
      </c>
      <c r="AD107" s="245">
        <f t="shared" si="182"/>
        <v>9.6728307254623003E-2</v>
      </c>
      <c r="AE107" s="245">
        <f t="shared" si="182"/>
        <v>2.94993234100136E-2</v>
      </c>
      <c r="AF107" s="245">
        <f t="shared" si="182"/>
        <v>-0.10187747357007304</v>
      </c>
      <c r="AG107" s="245">
        <f t="shared" si="182"/>
        <v>-0.14117155578837082</v>
      </c>
      <c r="AH107" s="245">
        <f t="shared" si="182"/>
        <v>-0.17792503242542146</v>
      </c>
      <c r="AI107" s="245">
        <f t="shared" si="182"/>
        <v>-0.1619902733964248</v>
      </c>
      <c r="AJ107" s="245">
        <f t="shared" si="182"/>
        <v>-5.5716965061297863E-2</v>
      </c>
      <c r="AK107" s="245">
        <f t="shared" si="182"/>
        <v>2.4097539285521385E-2</v>
      </c>
      <c r="AL107" s="245">
        <f t="shared" si="182"/>
        <v>7.5403450633760416E-2</v>
      </c>
      <c r="AM107" s="245">
        <f t="shared" si="182"/>
        <v>0.12071658444144195</v>
      </c>
      <c r="AN107" s="245">
        <f t="shared" si="182"/>
        <v>0.14050522698200529</v>
      </c>
      <c r="AO107" s="245">
        <f t="shared" si="182"/>
        <v>0.12336872022615708</v>
      </c>
      <c r="AP107" s="245">
        <f t="shared" si="182"/>
        <v>0.13784763179051995</v>
      </c>
      <c r="AQ107" s="245">
        <f t="shared" si="182"/>
        <v>3.2395101841567797E-2</v>
      </c>
      <c r="AR107" s="245">
        <f t="shared" si="182"/>
        <v>0.1109881717582335</v>
      </c>
      <c r="AS107" s="245">
        <f t="shared" si="182"/>
        <v>9.9701031042616295E-2</v>
      </c>
      <c r="AT107" s="245">
        <f t="shared" si="182"/>
        <v>3.1634773159271212E-2</v>
      </c>
      <c r="AU107" s="245">
        <f t="shared" si="182"/>
        <v>0.17256366883448737</v>
      </c>
      <c r="AY107" s="294"/>
      <c r="AZ107" s="392"/>
      <c r="BA107" s="35"/>
      <c r="BB107" s="294"/>
      <c r="BC107" s="408"/>
      <c r="BD107" s="294"/>
      <c r="BE107" s="294"/>
      <c r="BF107" s="294"/>
      <c r="BG107" s="294"/>
      <c r="BH107" s="294"/>
      <c r="BI107" s="294"/>
    </row>
    <row r="108" spans="1:61" x14ac:dyDescent="0.25">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AQ108" s="116"/>
      <c r="AR108" s="116"/>
      <c r="AS108" s="116"/>
      <c r="AT108" s="116"/>
      <c r="AU108" s="116"/>
      <c r="AW108" s="36"/>
      <c r="BA108" s="44"/>
    </row>
    <row r="109" spans="1:61" x14ac:dyDescent="0.25">
      <c r="A109" s="43" t="s">
        <v>84</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W109" s="36"/>
      <c r="BA109" s="44"/>
    </row>
    <row r="110" spans="1:61" x14ac:dyDescent="0.25">
      <c r="A110" s="48" t="s">
        <v>321</v>
      </c>
      <c r="B110" s="48"/>
      <c r="C110" s="116"/>
      <c r="D110" s="244">
        <f t="shared" ref="D110:AQ110" si="183">D35/D$18</f>
        <v>0.16359847169155958</v>
      </c>
      <c r="E110" s="244">
        <f t="shared" si="183"/>
        <v>0.16069364161849711</v>
      </c>
      <c r="F110" s="244">
        <f t="shared" si="183"/>
        <v>0.14840325610519725</v>
      </c>
      <c r="G110" s="244">
        <f t="shared" si="183"/>
        <v>0.13520288265705782</v>
      </c>
      <c r="H110" s="244">
        <f t="shared" si="183"/>
        <v>0.15253313964045759</v>
      </c>
      <c r="I110" s="244">
        <f t="shared" si="183"/>
        <v>0.14583678198973679</v>
      </c>
      <c r="J110" s="244">
        <f t="shared" si="183"/>
        <v>0.14119214119214119</v>
      </c>
      <c r="K110" s="244">
        <f t="shared" si="183"/>
        <v>0.13325431764307483</v>
      </c>
      <c r="L110" s="244">
        <f t="shared" si="183"/>
        <v>0.13063309615033752</v>
      </c>
      <c r="M110" s="244">
        <f t="shared" si="183"/>
        <v>9.1605774371769741E-2</v>
      </c>
      <c r="N110" s="244">
        <f t="shared" si="183"/>
        <v>9.159519725557462E-2</v>
      </c>
      <c r="O110" s="244">
        <f t="shared" si="183"/>
        <v>9.3252971706010379E-2</v>
      </c>
      <c r="P110" s="244">
        <f t="shared" si="183"/>
        <v>7.1937321937321941E-2</v>
      </c>
      <c r="Q110" s="244">
        <f t="shared" si="183"/>
        <v>7.9801450935471557E-2</v>
      </c>
      <c r="R110" s="244">
        <f t="shared" si="183"/>
        <v>0.10057361376673041</v>
      </c>
      <c r="S110" s="244">
        <f t="shared" si="183"/>
        <v>0.11013886246908883</v>
      </c>
      <c r="T110" s="244">
        <f t="shared" si="183"/>
        <v>0.12514242309153056</v>
      </c>
      <c r="U110" s="244">
        <f t="shared" si="183"/>
        <v>0.11116993118051879</v>
      </c>
      <c r="V110" s="244">
        <f t="shared" si="183"/>
        <v>0.10452261306532663</v>
      </c>
      <c r="W110" s="77">
        <f t="shared" si="183"/>
        <v>9.1030343447815937E-2</v>
      </c>
      <c r="X110" s="77">
        <f t="shared" si="183"/>
        <v>8.8341711557040847E-2</v>
      </c>
      <c r="Y110" s="77">
        <f t="shared" si="183"/>
        <v>0.11037613191895579</v>
      </c>
      <c r="Z110" s="77">
        <f t="shared" si="183"/>
        <v>0.11871019830076786</v>
      </c>
      <c r="AA110" s="77">
        <f t="shared" si="183"/>
        <v>0.10402540270565276</v>
      </c>
      <c r="AB110" s="77">
        <f t="shared" si="183"/>
        <v>7.4741621899898511E-2</v>
      </c>
      <c r="AC110" s="77">
        <f t="shared" si="183"/>
        <v>8.2040128116153563E-2</v>
      </c>
      <c r="AD110" s="77">
        <f t="shared" si="183"/>
        <v>7.6581607449487471E-2</v>
      </c>
      <c r="AE110" s="77">
        <f t="shared" si="183"/>
        <v>7.1424895474811803E-2</v>
      </c>
      <c r="AF110" s="77">
        <f t="shared" si="183"/>
        <v>6.6204556427886627E-2</v>
      </c>
      <c r="AG110" s="77">
        <f t="shared" si="183"/>
        <v>5.869361757895851E-2</v>
      </c>
      <c r="AH110" s="77">
        <f t="shared" si="183"/>
        <v>5.829061828651725E-2</v>
      </c>
      <c r="AI110" s="77">
        <f t="shared" si="183"/>
        <v>5.6808780307208741E-2</v>
      </c>
      <c r="AJ110" s="77">
        <f t="shared" si="183"/>
        <v>5.4616803921910734E-2</v>
      </c>
      <c r="AK110" s="77">
        <f t="shared" si="183"/>
        <v>5.1907315712766001E-2</v>
      </c>
      <c r="AL110" s="77">
        <f t="shared" si="183"/>
        <v>4.9986712557907327E-2</v>
      </c>
      <c r="AM110" s="77">
        <f t="shared" si="183"/>
        <v>7.255930054356885E-2</v>
      </c>
      <c r="AN110" s="77">
        <f t="shared" si="183"/>
        <v>6.9143565786060318E-2</v>
      </c>
      <c r="AO110" s="77">
        <f t="shared" si="183"/>
        <v>9.2915868704485816E-2</v>
      </c>
      <c r="AP110" s="77">
        <f t="shared" si="183"/>
        <v>0.1157035342924766</v>
      </c>
      <c r="AQ110" s="77">
        <f t="shared" si="183"/>
        <v>0.11380220003885198</v>
      </c>
      <c r="AR110" s="77">
        <f t="shared" ref="AR110:AS110" si="184">AR35/AR$18</f>
        <v>8.5971663598912673E-2</v>
      </c>
      <c r="AS110" s="77">
        <f t="shared" si="184"/>
        <v>0.10802702574099726</v>
      </c>
      <c r="AT110" s="77">
        <f t="shared" ref="AT110:AU110" si="185">AT35/AT$18</f>
        <v>9.6706061017042863E-2</v>
      </c>
      <c r="AU110" s="77">
        <f t="shared" si="185"/>
        <v>0.10077627661387599</v>
      </c>
      <c r="BA110" s="44"/>
    </row>
    <row r="111" spans="1:61" x14ac:dyDescent="0.25">
      <c r="A111" s="48" t="s">
        <v>322</v>
      </c>
      <c r="B111" s="48"/>
      <c r="C111" s="116"/>
      <c r="D111" s="244">
        <f t="shared" ref="D111:AQ111" si="186">D36/D$18</f>
        <v>4.0812782216047241E-2</v>
      </c>
      <c r="E111" s="244">
        <f t="shared" si="186"/>
        <v>3.9306358381502891E-2</v>
      </c>
      <c r="F111" s="244">
        <f t="shared" si="186"/>
        <v>3.6631183469004382E-2</v>
      </c>
      <c r="G111" s="244">
        <f t="shared" si="186"/>
        <v>3.6033213222622588E-2</v>
      </c>
      <c r="H111" s="244">
        <f t="shared" si="186"/>
        <v>4.9028509170147089E-2</v>
      </c>
      <c r="I111" s="244">
        <f t="shared" si="186"/>
        <v>5.0984936268829661E-2</v>
      </c>
      <c r="J111" s="244">
        <f t="shared" si="186"/>
        <v>5.0782550782550784E-2</v>
      </c>
      <c r="K111" s="244">
        <f t="shared" si="186"/>
        <v>4.6901456146291903E-2</v>
      </c>
      <c r="L111" s="244">
        <f t="shared" si="186"/>
        <v>4.6524356869184456E-2</v>
      </c>
      <c r="M111" s="244">
        <f t="shared" si="186"/>
        <v>4.8654428800570311E-2</v>
      </c>
      <c r="N111" s="244">
        <f t="shared" si="186"/>
        <v>4.7684391080617498E-2</v>
      </c>
      <c r="O111" s="244">
        <f t="shared" si="186"/>
        <v>4.7379876109157879E-2</v>
      </c>
      <c r="P111" s="244">
        <f t="shared" si="186"/>
        <v>5.8226495726495728E-2</v>
      </c>
      <c r="Q111" s="244">
        <f t="shared" si="186"/>
        <v>5.3455517373043146E-2</v>
      </c>
      <c r="R111" s="244">
        <f t="shared" si="186"/>
        <v>4.9713193116634802E-2</v>
      </c>
      <c r="S111" s="244">
        <f t="shared" si="186"/>
        <v>5.5164542514742246E-2</v>
      </c>
      <c r="T111" s="244">
        <f t="shared" si="186"/>
        <v>4.8803646031143184E-2</v>
      </c>
      <c r="U111" s="244">
        <f t="shared" si="186"/>
        <v>4.6056114346214927E-2</v>
      </c>
      <c r="V111" s="244">
        <f t="shared" si="186"/>
        <v>4.7068676716917925E-2</v>
      </c>
      <c r="W111" s="77">
        <f t="shared" si="186"/>
        <v>9.2030676892297436E-2</v>
      </c>
      <c r="X111" s="77">
        <f t="shared" si="186"/>
        <v>4.7806317159468606E-2</v>
      </c>
      <c r="Y111" s="77">
        <f t="shared" si="186"/>
        <v>4.761323337680446E-2</v>
      </c>
      <c r="Z111" s="77">
        <f t="shared" si="186"/>
        <v>4.0026205190748815E-2</v>
      </c>
      <c r="AA111" s="77">
        <f t="shared" si="186"/>
        <v>4.5645486719809475E-2</v>
      </c>
      <c r="AB111" s="77">
        <f t="shared" si="186"/>
        <v>5.0442215676837335E-2</v>
      </c>
      <c r="AC111" s="77">
        <f t="shared" si="186"/>
        <v>5.1354576320770548E-2</v>
      </c>
      <c r="AD111" s="77">
        <f t="shared" si="186"/>
        <v>5.1054404966324976E-2</v>
      </c>
      <c r="AE111" s="77">
        <f t="shared" si="186"/>
        <v>5.0683604867497463E-2</v>
      </c>
      <c r="AF111" s="77">
        <f t="shared" si="186"/>
        <v>4.7251479917890166E-2</v>
      </c>
      <c r="AG111" s="77">
        <f t="shared" si="186"/>
        <v>4.6165464618195665E-2</v>
      </c>
      <c r="AH111" s="77">
        <f t="shared" si="186"/>
        <v>5.1906368597097255E-2</v>
      </c>
      <c r="AI111" s="77">
        <f t="shared" si="186"/>
        <v>5.0690199693244564E-2</v>
      </c>
      <c r="AJ111" s="77">
        <f t="shared" si="186"/>
        <v>3.7660369663168283E-2</v>
      </c>
      <c r="AK111" s="77">
        <f t="shared" si="186"/>
        <v>5.0337335412963834E-2</v>
      </c>
      <c r="AL111" s="77">
        <f t="shared" si="186"/>
        <v>3.3702637300882479E-2</v>
      </c>
      <c r="AM111" s="77">
        <f t="shared" si="186"/>
        <v>3.9094562916666242E-2</v>
      </c>
      <c r="AN111" s="77">
        <f t="shared" si="186"/>
        <v>4.384788089217255E-2</v>
      </c>
      <c r="AO111" s="77">
        <f t="shared" si="186"/>
        <v>3.7113679591301539E-2</v>
      </c>
      <c r="AP111" s="77">
        <f t="shared" si="186"/>
        <v>4.3229529558811777E-2</v>
      </c>
      <c r="AQ111" s="77">
        <f t="shared" si="186"/>
        <v>5.7330101500093968E-2</v>
      </c>
      <c r="AR111" s="77">
        <f t="shared" ref="AR111:AS111" si="187">AR36/AR$18</f>
        <v>4.3861771404010215E-2</v>
      </c>
      <c r="AS111" s="77">
        <f t="shared" si="187"/>
        <v>4.4830339471959003E-2</v>
      </c>
      <c r="AT111" s="77">
        <f t="shared" ref="AT111:AU111" si="188">AT36/AT$18</f>
        <v>4.4409070552567813E-2</v>
      </c>
      <c r="AU111" s="77">
        <f t="shared" si="188"/>
        <v>4.05641876192437E-2</v>
      </c>
      <c r="BA111" s="44"/>
    </row>
    <row r="112" spans="1:61" x14ac:dyDescent="0.25">
      <c r="A112" s="48" t="s">
        <v>319</v>
      </c>
      <c r="B112" s="48"/>
      <c r="C112" s="116"/>
      <c r="D112" s="244">
        <f t="shared" ref="D112:AQ112" si="189">D37/D$18</f>
        <v>5.6616880861410208E-2</v>
      </c>
      <c r="E112" s="244">
        <f t="shared" si="189"/>
        <v>5.6317093311312967E-2</v>
      </c>
      <c r="F112" s="244">
        <f t="shared" si="189"/>
        <v>5.8547276142767689E-2</v>
      </c>
      <c r="G112" s="244">
        <f t="shared" si="189"/>
        <v>4.919316935610215E-2</v>
      </c>
      <c r="H112" s="244">
        <f t="shared" si="189"/>
        <v>5.3568185945160704E-2</v>
      </c>
      <c r="I112" s="244">
        <f t="shared" si="189"/>
        <v>5.6282072504552229E-2</v>
      </c>
      <c r="J112" s="244">
        <f t="shared" si="189"/>
        <v>6.2937062937062943E-2</v>
      </c>
      <c r="K112" s="244">
        <f t="shared" si="189"/>
        <v>6.9590247206230957E-2</v>
      </c>
      <c r="L112" s="244">
        <f t="shared" si="189"/>
        <v>4.1963145411421272E-2</v>
      </c>
      <c r="M112" s="244">
        <f t="shared" si="189"/>
        <v>4.5446444484049192E-2</v>
      </c>
      <c r="N112" s="244">
        <f t="shared" si="189"/>
        <v>5.1972555746140653E-2</v>
      </c>
      <c r="O112" s="244">
        <f t="shared" si="189"/>
        <v>5.6755399296835762E-2</v>
      </c>
      <c r="P112" s="244">
        <f t="shared" si="189"/>
        <v>5.8582621082621085E-2</v>
      </c>
      <c r="Q112" s="244">
        <f t="shared" si="189"/>
        <v>5.1928216876670485E-2</v>
      </c>
      <c r="R112" s="244">
        <f t="shared" si="189"/>
        <v>7.3613766730401528E-2</v>
      </c>
      <c r="S112" s="244">
        <f t="shared" si="189"/>
        <v>8.5029484496861332E-2</v>
      </c>
      <c r="T112" s="244">
        <f t="shared" si="189"/>
        <v>5.2031902772502851E-2</v>
      </c>
      <c r="U112" s="244">
        <f t="shared" si="189"/>
        <v>7.3936827245456152E-2</v>
      </c>
      <c r="V112" s="244">
        <f t="shared" si="189"/>
        <v>6.9179229480737015E-2</v>
      </c>
      <c r="W112" s="244">
        <f t="shared" si="189"/>
        <v>8.5028342780926969E-2</v>
      </c>
      <c r="X112" s="244">
        <f t="shared" si="189"/>
        <v>0.10415596856416544</v>
      </c>
      <c r="Y112" s="244">
        <f t="shared" si="189"/>
        <v>0.10352271196320363</v>
      </c>
      <c r="Z112" s="244">
        <f t="shared" si="189"/>
        <v>7.4920845613452913E-2</v>
      </c>
      <c r="AA112" s="244">
        <f t="shared" si="189"/>
        <v>7.5083518010121392E-2</v>
      </c>
      <c r="AB112" s="244">
        <f t="shared" si="189"/>
        <v>7.6585025130613493E-2</v>
      </c>
      <c r="AC112" s="244">
        <f t="shared" si="189"/>
        <v>7.7906323211076059E-2</v>
      </c>
      <c r="AD112" s="244">
        <f t="shared" si="189"/>
        <v>7.6117476495248151E-2</v>
      </c>
      <c r="AE112" s="244">
        <f t="shared" si="189"/>
        <v>8.2809212875818924E-2</v>
      </c>
      <c r="AF112" s="244">
        <f t="shared" si="189"/>
        <v>6.9722867761577351E-2</v>
      </c>
      <c r="AG112" s="244">
        <f t="shared" si="189"/>
        <v>6.6059135226694446E-2</v>
      </c>
      <c r="AH112" s="244">
        <f t="shared" si="189"/>
        <v>7.1454311391664513E-2</v>
      </c>
      <c r="AI112" s="244">
        <f t="shared" si="189"/>
        <v>7.0434589066108569E-2</v>
      </c>
      <c r="AJ112" s="244">
        <f t="shared" si="189"/>
        <v>8.4057705627158211E-2</v>
      </c>
      <c r="AK112" s="244">
        <f t="shared" si="189"/>
        <v>9.5145474038611899E-2</v>
      </c>
      <c r="AL112" s="244">
        <f t="shared" si="189"/>
        <v>0.10580935172225471</v>
      </c>
      <c r="AM112" s="244">
        <f t="shared" si="189"/>
        <v>9.7721595367865635E-2</v>
      </c>
      <c r="AN112" s="244">
        <f t="shared" si="189"/>
        <v>0.10807366117680074</v>
      </c>
      <c r="AO112" s="244">
        <f t="shared" si="189"/>
        <v>8.9300167563534566E-2</v>
      </c>
      <c r="AP112" s="244">
        <f t="shared" si="189"/>
        <v>7.8721910485865479E-2</v>
      </c>
      <c r="AQ112" s="244">
        <f t="shared" si="189"/>
        <v>8.513880566517823E-2</v>
      </c>
      <c r="AR112" s="244">
        <f t="shared" ref="AR112:AS112" si="190">AR37/AR$18</f>
        <v>7.4914896988654528E-2</v>
      </c>
      <c r="AS112" s="244">
        <f t="shared" si="190"/>
        <v>7.4630503834455589E-2</v>
      </c>
      <c r="AT112" s="244">
        <f t="shared" ref="AT112:AU112" si="191">AT37/AT$18</f>
        <v>7.7240973003884716E-2</v>
      </c>
      <c r="AU112" s="244">
        <f t="shared" si="191"/>
        <v>7.6903697961654457E-2</v>
      </c>
      <c r="BA112" s="44"/>
    </row>
    <row r="113" spans="1:53" x14ac:dyDescent="0.25">
      <c r="A113" s="48" t="s">
        <v>320</v>
      </c>
      <c r="B113" s="48"/>
      <c r="C113" s="116"/>
      <c r="D113" s="244">
        <f t="shared" ref="D113:AQ113" si="192">D38/D$18</f>
        <v>0.2372351510941299</v>
      </c>
      <c r="E113" s="244">
        <f t="shared" si="192"/>
        <v>0.23798513625103221</v>
      </c>
      <c r="F113" s="244">
        <f t="shared" si="192"/>
        <v>0.24592986850344395</v>
      </c>
      <c r="G113" s="244">
        <f t="shared" si="192"/>
        <v>0.25834247219175938</v>
      </c>
      <c r="H113" s="244">
        <f t="shared" si="192"/>
        <v>0.32613037951697837</v>
      </c>
      <c r="I113" s="244">
        <f t="shared" si="192"/>
        <v>0.36732329084588644</v>
      </c>
      <c r="J113" s="244">
        <f t="shared" si="192"/>
        <v>0.37712287712287712</v>
      </c>
      <c r="K113" s="244">
        <f t="shared" si="192"/>
        <v>0.33000338638672538</v>
      </c>
      <c r="L113" s="244">
        <f t="shared" si="192"/>
        <v>0.40977923736544425</v>
      </c>
      <c r="M113" s="244">
        <f t="shared" si="192"/>
        <v>0.4218499376225272</v>
      </c>
      <c r="N113" s="244">
        <f t="shared" si="192"/>
        <v>0.40514579759862779</v>
      </c>
      <c r="O113" s="244">
        <f t="shared" si="192"/>
        <v>0.38690775154863555</v>
      </c>
      <c r="P113" s="244">
        <f t="shared" si="192"/>
        <v>0.39476495726495725</v>
      </c>
      <c r="Q113" s="244">
        <f t="shared" si="192"/>
        <v>0.40053455517373043</v>
      </c>
      <c r="R113" s="244">
        <f t="shared" si="192"/>
        <v>0.375717017208413</v>
      </c>
      <c r="S113" s="244">
        <f t="shared" si="192"/>
        <v>0.37835267262697359</v>
      </c>
      <c r="T113" s="244">
        <f t="shared" si="192"/>
        <v>0.40011393847322446</v>
      </c>
      <c r="U113" s="244">
        <f t="shared" si="192"/>
        <v>0.37427210164107994</v>
      </c>
      <c r="V113" s="244">
        <f t="shared" si="192"/>
        <v>0.37202680067001676</v>
      </c>
      <c r="W113" s="244">
        <f t="shared" si="192"/>
        <v>0.35461820606868955</v>
      </c>
      <c r="X113" s="244">
        <f t="shared" si="192"/>
        <v>0.37881507589480068</v>
      </c>
      <c r="Y113" s="244">
        <f t="shared" si="192"/>
        <v>0.35782066295295473</v>
      </c>
      <c r="Z113" s="244">
        <f t="shared" si="192"/>
        <v>0.37528843670300382</v>
      </c>
      <c r="AA113" s="244">
        <f t="shared" si="192"/>
        <v>0.3621870141897926</v>
      </c>
      <c r="AB113" s="244">
        <f t="shared" si="192"/>
        <v>0.38812017112144609</v>
      </c>
      <c r="AC113" s="244">
        <f t="shared" si="192"/>
        <v>0.37410934390951422</v>
      </c>
      <c r="AD113" s="244">
        <f t="shared" si="192"/>
        <v>0.37532723166152848</v>
      </c>
      <c r="AE113" s="244">
        <f t="shared" si="192"/>
        <v>0.37053613896976606</v>
      </c>
      <c r="AF113" s="244">
        <f t="shared" si="192"/>
        <v>0.31272276109944191</v>
      </c>
      <c r="AG113" s="244">
        <f t="shared" si="192"/>
        <v>0.31482325992265159</v>
      </c>
      <c r="AH113" s="244">
        <f t="shared" si="192"/>
        <v>0.28950800206449939</v>
      </c>
      <c r="AI113" s="244">
        <f t="shared" si="192"/>
        <v>0.30938286249650554</v>
      </c>
      <c r="AJ113" s="244">
        <f t="shared" si="192"/>
        <v>0.31597827755486591</v>
      </c>
      <c r="AK113" s="244">
        <f t="shared" si="192"/>
        <v>0.29030988714456546</v>
      </c>
      <c r="AL113" s="244">
        <f t="shared" si="192"/>
        <v>0.29643697313534118</v>
      </c>
      <c r="AM113" s="244">
        <f t="shared" si="192"/>
        <v>0.29324229704464733</v>
      </c>
      <c r="AN113" s="244">
        <f t="shared" si="192"/>
        <v>0.29545306559909962</v>
      </c>
      <c r="AO113" s="244">
        <f t="shared" si="192"/>
        <v>0.28246149700364437</v>
      </c>
      <c r="AP113" s="244">
        <f t="shared" si="192"/>
        <v>0.26741935483870949</v>
      </c>
      <c r="AQ113" s="244">
        <f t="shared" si="192"/>
        <v>0.21991563346325518</v>
      </c>
      <c r="AR113" s="244">
        <f t="shared" ref="AR113:AS113" si="193">AR38/AR$18</f>
        <v>0.30950943672220776</v>
      </c>
      <c r="AS113" s="244">
        <f t="shared" si="193"/>
        <v>0.26051784287183849</v>
      </c>
      <c r="AT113" s="244">
        <f t="shared" ref="AT113:AU113" si="194">AT38/AT$18</f>
        <v>0.26915802088463719</v>
      </c>
      <c r="AU113" s="244">
        <f t="shared" si="194"/>
        <v>0.27651452474539168</v>
      </c>
      <c r="BA113" s="44"/>
    </row>
    <row r="114" spans="1:53" x14ac:dyDescent="0.25">
      <c r="A114" s="128" t="s">
        <v>323</v>
      </c>
      <c r="B114" s="128"/>
      <c r="C114" s="116"/>
      <c r="D114" s="244">
        <f t="shared" ref="D114:AQ114" si="195">D39/D$18</f>
        <v>2.2056269538034041E-2</v>
      </c>
      <c r="E114" s="244">
        <f t="shared" si="195"/>
        <v>2.2625928984310487E-2</v>
      </c>
      <c r="F114" s="244">
        <f t="shared" si="195"/>
        <v>2.144646211646838E-2</v>
      </c>
      <c r="G114" s="244">
        <f t="shared" si="195"/>
        <v>2.506658311138963E-2</v>
      </c>
      <c r="H114" s="244">
        <f t="shared" si="195"/>
        <v>2.0337751952061014E-2</v>
      </c>
      <c r="I114" s="244">
        <f t="shared" si="195"/>
        <v>3.6914418142691606E-2</v>
      </c>
      <c r="J114" s="244">
        <f t="shared" si="195"/>
        <v>2.2977022977022976E-2</v>
      </c>
      <c r="K114" s="244">
        <f t="shared" si="195"/>
        <v>3.2847951236031153E-2</v>
      </c>
      <c r="L114" s="244">
        <f t="shared" si="195"/>
        <v>2.8461959496442254E-2</v>
      </c>
      <c r="M114" s="244">
        <f t="shared" si="195"/>
        <v>3.6178934236321514E-2</v>
      </c>
      <c r="N114" s="244">
        <f t="shared" si="195"/>
        <v>2.7101200686106348E-2</v>
      </c>
      <c r="O114" s="244">
        <f t="shared" si="195"/>
        <v>2.3941068139963169E-2</v>
      </c>
      <c r="P114" s="244">
        <f t="shared" si="195"/>
        <v>2.6175213675213676E-2</v>
      </c>
      <c r="Q114" s="244">
        <f t="shared" si="195"/>
        <v>2.0045819014891181E-2</v>
      </c>
      <c r="R114" s="244">
        <f t="shared" si="195"/>
        <v>2.1797323135755258E-2</v>
      </c>
      <c r="S114" s="244">
        <f t="shared" si="195"/>
        <v>2.5109377972227506E-2</v>
      </c>
      <c r="T114" s="244">
        <f t="shared" si="195"/>
        <v>2.2977592100265856E-2</v>
      </c>
      <c r="U114" s="244">
        <f t="shared" si="195"/>
        <v>2.8763013940356449E-2</v>
      </c>
      <c r="V114" s="244">
        <f t="shared" si="195"/>
        <v>2.5293132328308206E-2</v>
      </c>
      <c r="W114" s="244">
        <f t="shared" si="195"/>
        <v>1.9506502167389129E-2</v>
      </c>
      <c r="X114" s="244">
        <f t="shared" si="195"/>
        <v>1.9995037595215006E-2</v>
      </c>
      <c r="Y114" s="244">
        <f t="shared" si="195"/>
        <v>1.9838847240335192E-2</v>
      </c>
      <c r="Z114" s="244">
        <f t="shared" si="195"/>
        <v>1.8815737482830639E-2</v>
      </c>
      <c r="AA114" s="244">
        <f t="shared" si="195"/>
        <v>2.4145800945986173E-2</v>
      </c>
      <c r="AB114" s="244">
        <f t="shared" si="195"/>
        <v>2.8321376908257506E-2</v>
      </c>
      <c r="AC114" s="244">
        <f t="shared" si="195"/>
        <v>2.1622979503482336E-2</v>
      </c>
      <c r="AD114" s="244">
        <f t="shared" si="195"/>
        <v>1.7327555624934536E-2</v>
      </c>
      <c r="AE114" s="244">
        <f t="shared" si="195"/>
        <v>1.7778249091983726E-2</v>
      </c>
      <c r="AF114" s="244">
        <f t="shared" si="195"/>
        <v>1.4040923475535661E-2</v>
      </c>
      <c r="AG114" s="244">
        <f t="shared" si="195"/>
        <v>1.220879121046E-2</v>
      </c>
      <c r="AH114" s="244">
        <f t="shared" si="195"/>
        <v>1.0906920925203581E-2</v>
      </c>
      <c r="AI114" s="244">
        <f t="shared" si="195"/>
        <v>1.4464947274838252E-2</v>
      </c>
      <c r="AJ114" s="244">
        <f t="shared" si="195"/>
        <v>8.4699736512829481E-3</v>
      </c>
      <c r="AK114" s="244">
        <f t="shared" si="195"/>
        <v>1.1497976165912176E-2</v>
      </c>
      <c r="AL114" s="244">
        <f t="shared" si="195"/>
        <v>1.3341060657246403E-2</v>
      </c>
      <c r="AM114" s="244">
        <f t="shared" si="195"/>
        <v>1.1141442799298292E-2</v>
      </c>
      <c r="AN114" s="244">
        <f t="shared" si="195"/>
        <v>1.2720001412031546E-2</v>
      </c>
      <c r="AO114" s="244">
        <f t="shared" si="195"/>
        <v>1.2654613056700081E-2</v>
      </c>
      <c r="AP114" s="244">
        <f t="shared" si="195"/>
        <v>1.0556471558120355E-2</v>
      </c>
      <c r="AQ114" s="244">
        <f t="shared" si="195"/>
        <v>1.25559954596736E-2</v>
      </c>
      <c r="AR114" s="244">
        <f t="shared" ref="AR114:AS114" si="196">AR39/AR$18</f>
        <v>1.098508557470171E-2</v>
      </c>
      <c r="AS114" s="244">
        <f t="shared" si="196"/>
        <v>1.6837602770675128E-2</v>
      </c>
      <c r="AT114" s="244">
        <f t="shared" ref="AT114:AU114" si="197">AT39/AT$18</f>
        <v>6.1784880363833046E-3</v>
      </c>
      <c r="AU114" s="244">
        <f t="shared" si="197"/>
        <v>1.6760563496891191E-2</v>
      </c>
      <c r="BA114" s="44"/>
    </row>
    <row r="115" spans="1:53" x14ac:dyDescent="0.25">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AQ115" s="116"/>
      <c r="AR115" s="116"/>
      <c r="AS115" s="116"/>
      <c r="AT115" s="116"/>
      <c r="AU115" s="116"/>
      <c r="BA115" s="44"/>
    </row>
    <row r="116" spans="1:53" x14ac:dyDescent="0.25">
      <c r="A116" s="43" t="s">
        <v>85</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BA116" s="44"/>
    </row>
    <row r="117" spans="1:53" x14ac:dyDescent="0.25">
      <c r="A117" s="48" t="s">
        <v>328</v>
      </c>
      <c r="B117" s="48"/>
      <c r="C117" s="116"/>
      <c r="D117" s="116"/>
      <c r="E117" s="116"/>
      <c r="F117" s="116"/>
      <c r="G117" s="116"/>
      <c r="H117" s="285">
        <f>H110-D110</f>
        <v>-1.1065332051101995E-2</v>
      </c>
      <c r="I117" s="285">
        <f t="shared" ref="I117:W117" si="198">I110-E110</f>
        <v>-1.4856859628760322E-2</v>
      </c>
      <c r="J117" s="285">
        <f t="shared" si="198"/>
        <v>-7.2111149130560659E-3</v>
      </c>
      <c r="K117" s="285">
        <f t="shared" si="198"/>
        <v>-1.9485650139829946E-3</v>
      </c>
      <c r="L117" s="285">
        <f t="shared" si="198"/>
        <v>-2.1900043490120064E-2</v>
      </c>
      <c r="M117" s="285">
        <f t="shared" si="198"/>
        <v>-5.423100761796705E-2</v>
      </c>
      <c r="N117" s="285">
        <f t="shared" si="198"/>
        <v>-4.9596943936566565E-2</v>
      </c>
      <c r="O117" s="285">
        <f t="shared" si="198"/>
        <v>-4.0001345937064448E-2</v>
      </c>
      <c r="P117" s="285">
        <f t="shared" si="198"/>
        <v>-5.8695774213015584E-2</v>
      </c>
      <c r="Q117" s="285">
        <f t="shared" si="198"/>
        <v>-1.1804323436298184E-2</v>
      </c>
      <c r="R117" s="285">
        <f t="shared" si="198"/>
        <v>8.9784165111557873E-3</v>
      </c>
      <c r="S117" s="285">
        <f t="shared" si="198"/>
        <v>1.6885890763078448E-2</v>
      </c>
      <c r="T117" s="285">
        <f t="shared" si="198"/>
        <v>5.3205101154208623E-2</v>
      </c>
      <c r="U117" s="285">
        <f t="shared" si="198"/>
        <v>3.1368480245047237E-2</v>
      </c>
      <c r="V117" s="285">
        <f t="shared" si="198"/>
        <v>3.9489992985962258E-3</v>
      </c>
      <c r="W117" s="285">
        <f t="shared" si="198"/>
        <v>-1.9108519021272891E-2</v>
      </c>
      <c r="X117" s="285">
        <f t="shared" ref="X117:AH121" si="199">X110-T110</f>
        <v>-3.6800711534489716E-2</v>
      </c>
      <c r="Y117" s="285">
        <f t="shared" si="199"/>
        <v>-7.9379926156300518E-4</v>
      </c>
      <c r="Z117" s="285">
        <f t="shared" si="199"/>
        <v>1.4187585235441225E-2</v>
      </c>
      <c r="AA117" s="285">
        <f t="shared" si="199"/>
        <v>1.2995059257836825E-2</v>
      </c>
      <c r="AB117" s="285">
        <f t="shared" si="199"/>
        <v>-1.3600089657142336E-2</v>
      </c>
      <c r="AC117" s="285">
        <f t="shared" si="199"/>
        <v>-2.8336003802802226E-2</v>
      </c>
      <c r="AD117" s="285">
        <f t="shared" si="199"/>
        <v>-4.2128590851280387E-2</v>
      </c>
      <c r="AE117" s="285">
        <f t="shared" si="199"/>
        <v>-3.2600507230840958E-2</v>
      </c>
      <c r="AF117" s="285">
        <f t="shared" si="199"/>
        <v>-8.5370654720118844E-3</v>
      </c>
      <c r="AG117" s="285">
        <f t="shared" si="199"/>
        <v>-2.3346510537195053E-2</v>
      </c>
      <c r="AH117" s="285">
        <f t="shared" si="199"/>
        <v>-1.8290989162970221E-2</v>
      </c>
      <c r="AI117" s="285">
        <f t="shared" ref="AI117:AI121" si="200">AI110-AE110</f>
        <v>-1.4616115167603062E-2</v>
      </c>
      <c r="AJ117" s="285">
        <f t="shared" ref="AJ117:AU121" si="201">AJ110-AF110</f>
        <v>-1.1587752505975893E-2</v>
      </c>
      <c r="AK117" s="285">
        <f t="shared" si="201"/>
        <v>-6.7863018661925081E-3</v>
      </c>
      <c r="AL117" s="285">
        <f t="shared" si="201"/>
        <v>-8.3039057286099227E-3</v>
      </c>
      <c r="AM117" s="285">
        <f t="shared" si="201"/>
        <v>1.5750520236360109E-2</v>
      </c>
      <c r="AN117" s="285">
        <f t="shared" si="201"/>
        <v>1.4526761864149584E-2</v>
      </c>
      <c r="AO117" s="285">
        <f t="shared" si="201"/>
        <v>4.1008552991719814E-2</v>
      </c>
      <c r="AP117" s="285">
        <f t="shared" si="201"/>
        <v>6.5716821734569275E-2</v>
      </c>
      <c r="AQ117" s="285">
        <f t="shared" si="201"/>
        <v>4.1242899495283133E-2</v>
      </c>
      <c r="AR117" s="285">
        <f t="shared" si="201"/>
        <v>1.6828097812852355E-2</v>
      </c>
      <c r="AS117" s="285">
        <f t="shared" si="201"/>
        <v>1.5111157036511447E-2</v>
      </c>
      <c r="AT117" s="285">
        <f t="shared" si="201"/>
        <v>-1.8997473275433732E-2</v>
      </c>
      <c r="AU117" s="285">
        <f t="shared" si="201"/>
        <v>-1.3025923424975994E-2</v>
      </c>
      <c r="BA117" s="44"/>
    </row>
    <row r="118" spans="1:53" x14ac:dyDescent="0.25">
      <c r="A118" s="48" t="s">
        <v>329</v>
      </c>
      <c r="B118" s="48"/>
      <c r="C118" s="116"/>
      <c r="D118" s="116"/>
      <c r="E118" s="116"/>
      <c r="F118" s="116"/>
      <c r="G118" s="116"/>
      <c r="H118" s="285">
        <f>H111-D111</f>
        <v>8.2157269540998473E-3</v>
      </c>
      <c r="I118" s="285">
        <f t="shared" ref="I118:W118" si="202">I111-E111</f>
        <v>1.167857788732677E-2</v>
      </c>
      <c r="J118" s="285">
        <f t="shared" si="202"/>
        <v>1.4151367313546402E-2</v>
      </c>
      <c r="K118" s="285">
        <f t="shared" si="202"/>
        <v>1.0868242923669315E-2</v>
      </c>
      <c r="L118" s="285">
        <f t="shared" si="202"/>
        <v>-2.5041523009626324E-3</v>
      </c>
      <c r="M118" s="285">
        <f t="shared" si="202"/>
        <v>-2.3305074682593505E-3</v>
      </c>
      <c r="N118" s="285">
        <f t="shared" si="202"/>
        <v>-3.0981597019332854E-3</v>
      </c>
      <c r="O118" s="285">
        <f t="shared" si="202"/>
        <v>4.7841996286597521E-4</v>
      </c>
      <c r="P118" s="285">
        <f t="shared" si="202"/>
        <v>1.1702138857311271E-2</v>
      </c>
      <c r="Q118" s="285">
        <f t="shared" si="202"/>
        <v>4.801088572472835E-3</v>
      </c>
      <c r="R118" s="285">
        <f t="shared" si="202"/>
        <v>2.0288020360173034E-3</v>
      </c>
      <c r="S118" s="285">
        <f t="shared" si="202"/>
        <v>7.7846664055843673E-3</v>
      </c>
      <c r="T118" s="285">
        <f t="shared" si="202"/>
        <v>-9.4228496953525434E-3</v>
      </c>
      <c r="U118" s="285">
        <f t="shared" si="202"/>
        <v>-7.399403026828219E-3</v>
      </c>
      <c r="V118" s="285">
        <f t="shared" si="202"/>
        <v>-2.6445163997168772E-3</v>
      </c>
      <c r="W118" s="285">
        <f t="shared" si="202"/>
        <v>3.686613437755519E-2</v>
      </c>
      <c r="X118" s="285">
        <f t="shared" si="199"/>
        <v>-9.9732887167457845E-4</v>
      </c>
      <c r="Y118" s="285">
        <f t="shared" si="199"/>
        <v>1.5571190305895335E-3</v>
      </c>
      <c r="Z118" s="285">
        <f t="shared" si="199"/>
        <v>-7.0424715261691098E-3</v>
      </c>
      <c r="AA118" s="285">
        <f t="shared" si="199"/>
        <v>-4.6385190172487961E-2</v>
      </c>
      <c r="AB118" s="285">
        <f t="shared" si="199"/>
        <v>2.6358985173687288E-3</v>
      </c>
      <c r="AC118" s="285">
        <f t="shared" si="199"/>
        <v>3.7413429439660875E-3</v>
      </c>
      <c r="AD118" s="285">
        <f t="shared" si="199"/>
        <v>1.1028199775576161E-2</v>
      </c>
      <c r="AE118" s="285">
        <f t="shared" si="199"/>
        <v>5.038118147687988E-3</v>
      </c>
      <c r="AF118" s="285">
        <f t="shared" si="199"/>
        <v>-3.1907357589471691E-3</v>
      </c>
      <c r="AG118" s="285">
        <f t="shared" si="199"/>
        <v>-5.1891117025748834E-3</v>
      </c>
      <c r="AH118" s="285">
        <f t="shared" si="199"/>
        <v>8.5196363077227888E-4</v>
      </c>
      <c r="AI118" s="285">
        <f t="shared" si="200"/>
        <v>6.5948257471012961E-6</v>
      </c>
      <c r="AJ118" s="285">
        <f t="shared" si="201"/>
        <v>-9.5911102547218824E-3</v>
      </c>
      <c r="AK118" s="285">
        <f t="shared" si="201"/>
        <v>4.1718707947681691E-3</v>
      </c>
      <c r="AL118" s="285">
        <f t="shared" si="201"/>
        <v>-1.8203731296214776E-2</v>
      </c>
      <c r="AM118" s="285">
        <f t="shared" si="201"/>
        <v>-1.1595636776578322E-2</v>
      </c>
      <c r="AN118" s="285">
        <f t="shared" si="201"/>
        <v>6.1875112290042666E-3</v>
      </c>
      <c r="AO118" s="285">
        <f t="shared" si="201"/>
        <v>-1.3223655821662295E-2</v>
      </c>
      <c r="AP118" s="285">
        <f t="shared" si="201"/>
        <v>9.5268922579292981E-3</v>
      </c>
      <c r="AQ118" s="285">
        <f t="shared" si="201"/>
        <v>1.8235538583427725E-2</v>
      </c>
      <c r="AR118" s="285">
        <f t="shared" si="201"/>
        <v>1.3890511837665043E-5</v>
      </c>
      <c r="AS118" s="285">
        <f t="shared" si="201"/>
        <v>7.7166598806574643E-3</v>
      </c>
      <c r="AT118" s="285">
        <f t="shared" si="201"/>
        <v>1.1795409937560355E-3</v>
      </c>
      <c r="AU118" s="285">
        <f t="shared" si="201"/>
        <v>-1.6765913880850268E-2</v>
      </c>
      <c r="BA118" s="44"/>
    </row>
    <row r="119" spans="1:53" x14ac:dyDescent="0.25">
      <c r="A119" s="48" t="s">
        <v>330</v>
      </c>
      <c r="B119" s="48"/>
      <c r="C119" s="116"/>
      <c r="D119" s="116"/>
      <c r="E119" s="116"/>
      <c r="F119" s="116"/>
      <c r="G119" s="116"/>
      <c r="H119" s="285">
        <f>H112-D112</f>
        <v>-3.0486949162495044E-3</v>
      </c>
      <c r="I119" s="285">
        <f t="shared" ref="I119:U119" si="203">I112-E112</f>
        <v>-3.5020806760738266E-5</v>
      </c>
      <c r="J119" s="285">
        <f t="shared" si="203"/>
        <v>4.3897867942952543E-3</v>
      </c>
      <c r="K119" s="285">
        <f t="shared" si="203"/>
        <v>2.0397077850128807E-2</v>
      </c>
      <c r="L119" s="285">
        <f t="shared" si="203"/>
        <v>-1.1605040533739432E-2</v>
      </c>
      <c r="M119" s="285">
        <f t="shared" si="203"/>
        <v>-1.0835628020503037E-2</v>
      </c>
      <c r="N119" s="285">
        <f t="shared" si="203"/>
        <v>-1.096450719092229E-2</v>
      </c>
      <c r="O119" s="285">
        <f t="shared" si="203"/>
        <v>-1.2834847909395194E-2</v>
      </c>
      <c r="P119" s="285">
        <f t="shared" si="203"/>
        <v>1.6619475671199813E-2</v>
      </c>
      <c r="Q119" s="285">
        <f t="shared" si="203"/>
        <v>6.4817723926212933E-3</v>
      </c>
      <c r="R119" s="285">
        <f t="shared" si="203"/>
        <v>2.1641210984260875E-2</v>
      </c>
      <c r="S119" s="285">
        <f t="shared" si="203"/>
        <v>2.827408520002557E-2</v>
      </c>
      <c r="T119" s="285">
        <f t="shared" si="203"/>
        <v>-6.5507183101182337E-3</v>
      </c>
      <c r="U119" s="285">
        <f t="shared" si="203"/>
        <v>2.2008610368785667E-2</v>
      </c>
      <c r="V119" s="285">
        <f t="shared" ref="V119:W120" si="204">V112-R112</f>
        <v>-4.4345372496645136E-3</v>
      </c>
      <c r="W119" s="285">
        <f t="shared" si="204"/>
        <v>-1.1417159343635186E-6</v>
      </c>
      <c r="X119" s="285">
        <f t="shared" si="199"/>
        <v>5.2124065791662587E-2</v>
      </c>
      <c r="Y119" s="285">
        <f t="shared" si="199"/>
        <v>2.9585884717747479E-2</v>
      </c>
      <c r="Z119" s="285">
        <f t="shared" si="199"/>
        <v>5.7416161327158988E-3</v>
      </c>
      <c r="AA119" s="285">
        <f t="shared" si="199"/>
        <v>-9.944824770805577E-3</v>
      </c>
      <c r="AB119" s="285">
        <f t="shared" si="199"/>
        <v>-2.7570943433551945E-2</v>
      </c>
      <c r="AC119" s="285">
        <f t="shared" si="199"/>
        <v>-2.5616388752127572E-2</v>
      </c>
      <c r="AD119" s="285">
        <f t="shared" si="199"/>
        <v>1.1966308817952381E-3</v>
      </c>
      <c r="AE119" s="285">
        <f t="shared" si="199"/>
        <v>7.7256948656975327E-3</v>
      </c>
      <c r="AF119" s="285">
        <f t="shared" si="199"/>
        <v>-6.8621573690361426E-3</v>
      </c>
      <c r="AG119" s="285">
        <f t="shared" si="199"/>
        <v>-1.1847187984381613E-2</v>
      </c>
      <c r="AH119" s="285">
        <f t="shared" si="199"/>
        <v>-4.6631651035836386E-3</v>
      </c>
      <c r="AI119" s="285">
        <f t="shared" si="200"/>
        <v>-1.2374623809710356E-2</v>
      </c>
      <c r="AJ119" s="285">
        <f t="shared" si="201"/>
        <v>1.433483786558086E-2</v>
      </c>
      <c r="AK119" s="285">
        <f t="shared" si="201"/>
        <v>2.9086338811917453E-2</v>
      </c>
      <c r="AL119" s="285">
        <f t="shared" si="201"/>
        <v>3.4355040330590197E-2</v>
      </c>
      <c r="AM119" s="285">
        <f t="shared" si="201"/>
        <v>2.7287006301757066E-2</v>
      </c>
      <c r="AN119" s="285">
        <f t="shared" si="201"/>
        <v>2.4015955549642531E-2</v>
      </c>
      <c r="AO119" s="285">
        <f t="shared" si="201"/>
        <v>-5.8453064750773331E-3</v>
      </c>
      <c r="AP119" s="285">
        <f t="shared" si="201"/>
        <v>-2.7087441236389231E-2</v>
      </c>
      <c r="AQ119" s="285">
        <f t="shared" si="201"/>
        <v>-1.2582789702687405E-2</v>
      </c>
      <c r="AR119" s="285">
        <f t="shared" si="201"/>
        <v>-3.3158764188146214E-2</v>
      </c>
      <c r="AS119" s="285">
        <f t="shared" si="201"/>
        <v>-1.4669663729078977E-2</v>
      </c>
      <c r="AT119" s="285">
        <f t="shared" si="201"/>
        <v>-1.4809374819807625E-3</v>
      </c>
      <c r="AU119" s="285">
        <f t="shared" si="201"/>
        <v>-8.2351077035237724E-3</v>
      </c>
      <c r="BA119" s="44"/>
    </row>
    <row r="120" spans="1:53" x14ac:dyDescent="0.25">
      <c r="A120" s="48" t="s">
        <v>331</v>
      </c>
      <c r="B120" s="48"/>
      <c r="C120" s="116"/>
      <c r="D120" s="116"/>
      <c r="E120" s="116"/>
      <c r="F120" s="116"/>
      <c r="G120" s="116"/>
      <c r="H120" s="285">
        <f>H113-D113</f>
        <v>8.8895228422848471E-2</v>
      </c>
      <c r="I120" s="285">
        <f t="shared" ref="I120:U120" si="205">I113-E113</f>
        <v>0.12933815459485423</v>
      </c>
      <c r="J120" s="285">
        <f t="shared" si="205"/>
        <v>0.13119300861943317</v>
      </c>
      <c r="K120" s="285">
        <f t="shared" si="205"/>
        <v>7.1660914194966008E-2</v>
      </c>
      <c r="L120" s="285">
        <f t="shared" si="205"/>
        <v>8.3648857848465874E-2</v>
      </c>
      <c r="M120" s="285">
        <f t="shared" si="205"/>
        <v>5.4526646776640764E-2</v>
      </c>
      <c r="N120" s="285">
        <f t="shared" si="205"/>
        <v>2.8022920475750668E-2</v>
      </c>
      <c r="O120" s="285">
        <f t="shared" si="205"/>
        <v>5.6904365161910164E-2</v>
      </c>
      <c r="P120" s="285">
        <f t="shared" si="205"/>
        <v>-1.5014280100486999E-2</v>
      </c>
      <c r="Q120" s="285">
        <f t="shared" si="205"/>
        <v>-2.1315382448796771E-2</v>
      </c>
      <c r="R120" s="285">
        <f t="shared" si="205"/>
        <v>-2.9428780390214793E-2</v>
      </c>
      <c r="S120" s="285">
        <f t="shared" si="205"/>
        <v>-8.5550789216619627E-3</v>
      </c>
      <c r="T120" s="285">
        <f t="shared" si="205"/>
        <v>5.3489812082672117E-3</v>
      </c>
      <c r="U120" s="285">
        <f t="shared" si="205"/>
        <v>-2.6262453532650498E-2</v>
      </c>
      <c r="V120" s="285">
        <f t="shared" si="204"/>
        <v>-3.6902165383962404E-3</v>
      </c>
      <c r="W120" s="285">
        <f t="shared" si="204"/>
        <v>-2.373446655828404E-2</v>
      </c>
      <c r="X120" s="285">
        <f t="shared" si="199"/>
        <v>-2.1298862578423783E-2</v>
      </c>
      <c r="Y120" s="285">
        <f t="shared" si="199"/>
        <v>-1.6451438688125208E-2</v>
      </c>
      <c r="Z120" s="285">
        <f t="shared" si="199"/>
        <v>3.2616360329870697E-3</v>
      </c>
      <c r="AA120" s="285">
        <f t="shared" si="199"/>
        <v>7.5688081211030545E-3</v>
      </c>
      <c r="AB120" s="285">
        <f t="shared" si="199"/>
        <v>9.3050952266454101E-3</v>
      </c>
      <c r="AC120" s="285">
        <f t="shared" si="199"/>
        <v>1.6288680956559498E-2</v>
      </c>
      <c r="AD120" s="285">
        <f t="shared" si="199"/>
        <v>3.8794958524657197E-5</v>
      </c>
      <c r="AE120" s="285">
        <f t="shared" si="199"/>
        <v>8.3491247799734603E-3</v>
      </c>
      <c r="AF120" s="285">
        <f t="shared" si="199"/>
        <v>-7.5397410022004174E-2</v>
      </c>
      <c r="AG120" s="285">
        <f t="shared" si="199"/>
        <v>-5.9286083986862637E-2</v>
      </c>
      <c r="AH120" s="285">
        <f t="shared" si="199"/>
        <v>-8.581922959702909E-2</v>
      </c>
      <c r="AI120" s="285">
        <f t="shared" si="200"/>
        <v>-6.1153276473260521E-2</v>
      </c>
      <c r="AJ120" s="285">
        <f t="shared" si="201"/>
        <v>3.2555164554239902E-3</v>
      </c>
      <c r="AK120" s="285">
        <f t="shared" si="201"/>
        <v>-2.4513372778086129E-2</v>
      </c>
      <c r="AL120" s="285">
        <f t="shared" si="201"/>
        <v>6.9289710708417829E-3</v>
      </c>
      <c r="AM120" s="285">
        <f t="shared" si="201"/>
        <v>-1.6140565451858213E-2</v>
      </c>
      <c r="AN120" s="285">
        <f t="shared" si="201"/>
        <v>-2.0525211955766287E-2</v>
      </c>
      <c r="AO120" s="285">
        <f t="shared" si="201"/>
        <v>-7.848390140921091E-3</v>
      </c>
      <c r="AP120" s="285">
        <f t="shared" si="201"/>
        <v>-2.9017618296631686E-2</v>
      </c>
      <c r="AQ120" s="285">
        <f t="shared" si="201"/>
        <v>-7.3326663581392143E-2</v>
      </c>
      <c r="AR120" s="285">
        <f t="shared" si="201"/>
        <v>1.4056371123108147E-2</v>
      </c>
      <c r="AS120" s="285">
        <f t="shared" si="201"/>
        <v>-2.1943654131805879E-2</v>
      </c>
      <c r="AT120" s="285">
        <f t="shared" si="201"/>
        <v>1.7386660459277059E-3</v>
      </c>
      <c r="AU120" s="285">
        <f t="shared" si="201"/>
        <v>5.6598891282136493E-2</v>
      </c>
      <c r="BA120" s="44"/>
    </row>
    <row r="121" spans="1:53" x14ac:dyDescent="0.25">
      <c r="A121" s="128" t="s">
        <v>332</v>
      </c>
      <c r="B121" s="128"/>
      <c r="C121" s="116"/>
      <c r="D121" s="116"/>
      <c r="E121" s="116"/>
      <c r="F121" s="116"/>
      <c r="G121" s="116"/>
      <c r="H121" s="285">
        <f>H114-D114</f>
        <v>-1.7185175859730263E-3</v>
      </c>
      <c r="I121" s="285">
        <f t="shared" ref="I121:W121" si="206">I114-E114</f>
        <v>1.4288489158381119E-2</v>
      </c>
      <c r="J121" s="285">
        <f t="shared" si="206"/>
        <v>1.5305608605545966E-3</v>
      </c>
      <c r="K121" s="285">
        <f t="shared" si="206"/>
        <v>7.7813681246415231E-3</v>
      </c>
      <c r="L121" s="285">
        <f t="shared" si="206"/>
        <v>8.1242075443812393E-3</v>
      </c>
      <c r="M121" s="285">
        <f t="shared" si="206"/>
        <v>-7.3548390637009214E-4</v>
      </c>
      <c r="N121" s="285">
        <f t="shared" si="206"/>
        <v>4.1241777090833716E-3</v>
      </c>
      <c r="O121" s="285">
        <f t="shared" si="206"/>
        <v>-8.9068830960679843E-3</v>
      </c>
      <c r="P121" s="285">
        <f t="shared" si="206"/>
        <v>-2.2867458212285779E-3</v>
      </c>
      <c r="Q121" s="285">
        <f t="shared" si="206"/>
        <v>-1.6133115221430332E-2</v>
      </c>
      <c r="R121" s="285">
        <f t="shared" si="206"/>
        <v>-5.3038775503510896E-3</v>
      </c>
      <c r="S121" s="285">
        <f t="shared" si="206"/>
        <v>1.1683098322643366E-3</v>
      </c>
      <c r="T121" s="285">
        <f t="shared" si="206"/>
        <v>-3.1976215749478197E-3</v>
      </c>
      <c r="U121" s="285">
        <f t="shared" si="206"/>
        <v>8.7171949254652679E-3</v>
      </c>
      <c r="V121" s="285">
        <f t="shared" si="206"/>
        <v>3.4958091925529483E-3</v>
      </c>
      <c r="W121" s="285">
        <f t="shared" si="206"/>
        <v>-5.6028758048383767E-3</v>
      </c>
      <c r="X121" s="285">
        <f t="shared" si="199"/>
        <v>-2.9825545050508502E-3</v>
      </c>
      <c r="Y121" s="285">
        <f t="shared" si="199"/>
        <v>-8.924166700021257E-3</v>
      </c>
      <c r="Z121" s="285">
        <f t="shared" si="199"/>
        <v>-6.4773948454775673E-3</v>
      </c>
      <c r="AA121" s="285">
        <f t="shared" si="199"/>
        <v>4.6392987785970445E-3</v>
      </c>
      <c r="AB121" s="285">
        <f t="shared" si="199"/>
        <v>8.3263393130425002E-3</v>
      </c>
      <c r="AC121" s="285">
        <f t="shared" si="199"/>
        <v>1.7841322631471437E-3</v>
      </c>
      <c r="AD121" s="285">
        <f t="shared" si="199"/>
        <v>-1.488181857896103E-3</v>
      </c>
      <c r="AE121" s="285">
        <f t="shared" si="199"/>
        <v>-6.3675518540024477E-3</v>
      </c>
      <c r="AF121" s="285">
        <f t="shared" si="199"/>
        <v>-1.4280453432721845E-2</v>
      </c>
      <c r="AG121" s="285">
        <f t="shared" si="199"/>
        <v>-9.414188293022336E-3</v>
      </c>
      <c r="AH121" s="285">
        <f t="shared" si="199"/>
        <v>-6.4206346997309552E-3</v>
      </c>
      <c r="AI121" s="285">
        <f t="shared" si="200"/>
        <v>-3.3133018171454739E-3</v>
      </c>
      <c r="AJ121" s="285">
        <f t="shared" si="201"/>
        <v>-5.5709498242527133E-3</v>
      </c>
      <c r="AK121" s="285">
        <f t="shared" si="201"/>
        <v>-7.1081504454782382E-4</v>
      </c>
      <c r="AL121" s="285">
        <f t="shared" si="201"/>
        <v>2.4341397320428223E-3</v>
      </c>
      <c r="AM121" s="285">
        <f t="shared" si="201"/>
        <v>-3.3235044755399595E-3</v>
      </c>
      <c r="AN121" s="285">
        <f t="shared" si="201"/>
        <v>4.2500277607485978E-3</v>
      </c>
      <c r="AO121" s="285">
        <f t="shared" si="201"/>
        <v>1.1566368907879043E-3</v>
      </c>
      <c r="AP121" s="285">
        <f t="shared" si="201"/>
        <v>-2.7845890991260482E-3</v>
      </c>
      <c r="AQ121" s="285">
        <f t="shared" si="201"/>
        <v>1.4145526603753077E-3</v>
      </c>
      <c r="AR121" s="285">
        <f t="shared" si="201"/>
        <v>-1.7349158373298357E-3</v>
      </c>
      <c r="AS121" s="285">
        <f t="shared" si="201"/>
        <v>4.1829897139750473E-3</v>
      </c>
      <c r="AT121" s="285">
        <f t="shared" si="201"/>
        <v>-4.3779835217370505E-3</v>
      </c>
      <c r="AU121" s="285">
        <f t="shared" si="201"/>
        <v>4.2045680372175907E-3</v>
      </c>
      <c r="BA121" s="44"/>
    </row>
    <row r="122" spans="1:53" x14ac:dyDescent="0.25">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BA122" s="44"/>
    </row>
    <row r="123" spans="1:53" x14ac:dyDescent="0.25">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BA123" s="44"/>
    </row>
    <row r="124" spans="1:53" x14ac:dyDescent="0.25">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BA124" s="44"/>
    </row>
    <row r="125" spans="1:53" x14ac:dyDescent="0.25">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BA125" s="44"/>
    </row>
    <row r="126" spans="1:53" x14ac:dyDescent="0.25">
      <c r="C126" s="116"/>
      <c r="D126" s="116"/>
      <c r="E126" s="116"/>
      <c r="F126" s="116"/>
      <c r="G126" s="116"/>
      <c r="H126" s="116"/>
      <c r="I126" s="116"/>
      <c r="J126" s="116"/>
      <c r="K126" s="131"/>
      <c r="L126" s="131"/>
      <c r="M126" s="131"/>
      <c r="N126" s="131"/>
      <c r="O126" s="131"/>
      <c r="P126" s="131"/>
      <c r="Q126" s="131"/>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BA126" s="44"/>
    </row>
    <row r="127" spans="1:53" x14ac:dyDescent="0.25">
      <c r="C127" s="116"/>
      <c r="D127" s="116"/>
      <c r="E127" s="116"/>
      <c r="F127" s="116"/>
      <c r="G127" s="116"/>
      <c r="H127" s="116"/>
      <c r="I127" s="116"/>
      <c r="J127" s="116"/>
      <c r="K127" s="131"/>
      <c r="L127" s="131"/>
      <c r="M127" s="131"/>
      <c r="N127" s="131"/>
      <c r="O127" s="131"/>
      <c r="P127" s="131"/>
      <c r="Q127" s="131"/>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BA127" s="44"/>
    </row>
    <row r="128" spans="1:53" x14ac:dyDescent="0.25">
      <c r="A128" s="43" t="s">
        <v>334</v>
      </c>
      <c r="C128" s="116"/>
      <c r="D128" s="116"/>
      <c r="E128" s="116"/>
      <c r="F128" s="116"/>
      <c r="G128" s="116"/>
      <c r="H128" s="116"/>
      <c r="I128" s="116"/>
      <c r="J128" s="116"/>
      <c r="K128" s="121"/>
      <c r="L128" s="121"/>
      <c r="M128" s="121"/>
      <c r="N128" s="121"/>
      <c r="O128" s="121"/>
      <c r="P128" s="121"/>
      <c r="Q128" s="121"/>
      <c r="R128" s="116"/>
      <c r="S128" s="116"/>
      <c r="T128" s="116"/>
      <c r="U128" s="116"/>
      <c r="V128" s="116"/>
      <c r="W128" s="116"/>
      <c r="X128" s="116"/>
      <c r="Y128" s="116"/>
      <c r="Z128" s="116"/>
      <c r="AA128" s="116"/>
      <c r="AB128" s="116"/>
      <c r="AC128" s="116"/>
      <c r="AD128" s="116"/>
      <c r="AE128" s="116"/>
      <c r="AF128" s="132">
        <v>3184</v>
      </c>
      <c r="AG128" s="250">
        <f>6490-AF128</f>
        <v>3306</v>
      </c>
      <c r="AH128" s="250">
        <f>9895-AF128-AG128</f>
        <v>3405</v>
      </c>
      <c r="AI128" s="250">
        <f>13060-AF128-AG128-AH128</f>
        <v>3165</v>
      </c>
      <c r="AJ128" s="132">
        <v>3119</v>
      </c>
      <c r="AK128" s="132">
        <v>3369</v>
      </c>
      <c r="AL128" s="132">
        <v>3418</v>
      </c>
      <c r="AM128" s="132">
        <v>3381</v>
      </c>
      <c r="AN128" s="132"/>
      <c r="AO128" s="132"/>
      <c r="AP128" s="132"/>
      <c r="AQ128" s="132"/>
      <c r="AR128" s="132"/>
      <c r="AS128" s="132"/>
      <c r="AT128" s="132"/>
      <c r="AU128" s="132"/>
      <c r="BA128" s="44"/>
    </row>
    <row r="129" spans="1:61" x14ac:dyDescent="0.25">
      <c r="A129" s="43" t="s">
        <v>335</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32">
        <v>-4</v>
      </c>
      <c r="AG129" s="250">
        <f>-8-AF129</f>
        <v>-4</v>
      </c>
      <c r="AH129" s="250">
        <f>130-AF129-AG129</f>
        <v>138</v>
      </c>
      <c r="AI129" s="250">
        <f>-15-AF129-AG129-AH129</f>
        <v>-145</v>
      </c>
      <c r="AJ129" s="132"/>
      <c r="AK129" s="132"/>
      <c r="AL129" s="132"/>
      <c r="AM129" s="132"/>
      <c r="AN129" s="132"/>
      <c r="AO129" s="132"/>
      <c r="AP129" s="132"/>
      <c r="AQ129" s="132"/>
      <c r="AR129" s="132"/>
      <c r="AS129" s="132"/>
      <c r="AT129" s="132"/>
      <c r="AU129" s="132"/>
      <c r="BA129" s="44"/>
    </row>
    <row r="130" spans="1:61" x14ac:dyDescent="0.25">
      <c r="A130" s="43" t="s">
        <v>56</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32">
        <v>-507</v>
      </c>
      <c r="AG130" s="250">
        <f>-1005-AF130</f>
        <v>-498</v>
      </c>
      <c r="AH130" s="250">
        <f>-1499-AF130-AG130</f>
        <v>-494</v>
      </c>
      <c r="AI130" s="250">
        <f>-1961-AF130-AG130-AH130</f>
        <v>-462</v>
      </c>
      <c r="AJ130" s="132"/>
      <c r="AK130" s="132"/>
      <c r="AL130" s="132"/>
      <c r="AM130" s="132"/>
      <c r="AN130" s="132"/>
      <c r="AO130" s="132"/>
      <c r="AP130" s="132"/>
      <c r="AQ130" s="132"/>
      <c r="AR130" s="132"/>
      <c r="AS130" s="132"/>
      <c r="AT130" s="132"/>
      <c r="AU130" s="132"/>
      <c r="BA130" s="44"/>
    </row>
    <row r="131" spans="1:61" x14ac:dyDescent="0.25">
      <c r="A131" s="43" t="s">
        <v>336</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286">
        <f t="shared" ref="AB131:AD131" si="207">AB42</f>
        <v>2279</v>
      </c>
      <c r="AC131" s="286">
        <f t="shared" si="207"/>
        <v>2471</v>
      </c>
      <c r="AD131" s="286">
        <f t="shared" si="207"/>
        <v>2608</v>
      </c>
      <c r="AE131" s="286">
        <f>AE42</f>
        <v>2608</v>
      </c>
      <c r="AF131" s="287">
        <f t="shared" ref="AF131:AK131" si="208">AF128+AF129+AF130</f>
        <v>2673</v>
      </c>
      <c r="AG131" s="287">
        <f t="shared" si="208"/>
        <v>2804</v>
      </c>
      <c r="AH131" s="287">
        <f t="shared" si="208"/>
        <v>3049</v>
      </c>
      <c r="AI131" s="287">
        <f t="shared" si="208"/>
        <v>2558</v>
      </c>
      <c r="AJ131" s="287">
        <f t="shared" si="208"/>
        <v>3119</v>
      </c>
      <c r="AK131" s="287">
        <f t="shared" si="208"/>
        <v>3369</v>
      </c>
      <c r="AL131" s="287">
        <f t="shared" ref="AL131:AM131" si="209">AL128+AL129+AL130</f>
        <v>3418</v>
      </c>
      <c r="AM131" s="287">
        <f t="shared" si="209"/>
        <v>3381</v>
      </c>
      <c r="AN131" s="287">
        <f t="shared" ref="AN131:AP131" si="210">AN128+AN129+AN130</f>
        <v>0</v>
      </c>
      <c r="AO131" s="287">
        <f t="shared" si="210"/>
        <v>0</v>
      </c>
      <c r="AP131" s="287">
        <f t="shared" si="210"/>
        <v>0</v>
      </c>
      <c r="AQ131" s="287">
        <f t="shared" ref="AQ131:AS131" si="211">AQ128+AQ129+AQ130</f>
        <v>0</v>
      </c>
      <c r="AR131" s="287">
        <f t="shared" si="211"/>
        <v>0</v>
      </c>
      <c r="AS131" s="287">
        <f t="shared" si="211"/>
        <v>0</v>
      </c>
      <c r="AT131" s="287">
        <f t="shared" ref="AT131:AU131" si="212">AT128+AT129+AT130</f>
        <v>0</v>
      </c>
      <c r="AU131" s="287">
        <f t="shared" si="212"/>
        <v>0</v>
      </c>
      <c r="BA131" s="44"/>
    </row>
    <row r="132" spans="1:61" x14ac:dyDescent="0.25">
      <c r="A132" s="36" t="s">
        <v>349</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288">
        <f>AF131/AB131-1</f>
        <v>0.17288284335234749</v>
      </c>
      <c r="AG132" s="288">
        <f t="shared" ref="AG132:AH132" si="213">AG131/AC131-1</f>
        <v>0.13476325374342379</v>
      </c>
      <c r="AH132" s="288">
        <f t="shared" si="213"/>
        <v>0.16909509202453998</v>
      </c>
      <c r="AI132" s="288">
        <f>AI131/AE131-1</f>
        <v>-1.9171779141104239E-2</v>
      </c>
      <c r="AJ132" s="288">
        <f t="shared" ref="AJ132:AU132" si="214">AJ131/AF128-1</f>
        <v>-2.0414572864321578E-2</v>
      </c>
      <c r="AK132" s="288">
        <f t="shared" si="214"/>
        <v>1.9056261343012748E-2</v>
      </c>
      <c r="AL132" s="288">
        <f t="shared" si="214"/>
        <v>3.8179148311305866E-3</v>
      </c>
      <c r="AM132" s="288">
        <f t="shared" si="214"/>
        <v>6.824644549763037E-2</v>
      </c>
      <c r="AN132" s="288">
        <f t="shared" si="214"/>
        <v>-1</v>
      </c>
      <c r="AO132" s="288">
        <f t="shared" si="214"/>
        <v>-1</v>
      </c>
      <c r="AP132" s="288">
        <f t="shared" si="214"/>
        <v>-1</v>
      </c>
      <c r="AQ132" s="288">
        <f t="shared" si="214"/>
        <v>-1</v>
      </c>
      <c r="AR132" s="288" t="e">
        <f t="shared" si="214"/>
        <v>#DIV/0!</v>
      </c>
      <c r="AS132" s="288" t="e">
        <f t="shared" si="214"/>
        <v>#DIV/0!</v>
      </c>
      <c r="AT132" s="288" t="e">
        <f t="shared" si="214"/>
        <v>#DIV/0!</v>
      </c>
      <c r="AU132" s="288" t="e">
        <f t="shared" si="214"/>
        <v>#DIV/0!</v>
      </c>
      <c r="BA132" s="44"/>
    </row>
    <row r="133" spans="1:61" x14ac:dyDescent="0.25">
      <c r="A133" s="43" t="s">
        <v>351</v>
      </c>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285">
        <f t="shared" ref="AC133:AE133" si="215">AC131/AB131-1</f>
        <v>8.4247476963580592E-2</v>
      </c>
      <c r="AD133" s="285">
        <f t="shared" si="215"/>
        <v>5.5443140428976134E-2</v>
      </c>
      <c r="AE133" s="285">
        <f t="shared" si="215"/>
        <v>0</v>
      </c>
      <c r="AF133" s="285">
        <f>AF131/AE131-1</f>
        <v>2.4923312883435633E-2</v>
      </c>
      <c r="AG133" s="285">
        <f t="shared" ref="AG133:AH133" si="216">AG131/AF131-1</f>
        <v>4.900860456416023E-2</v>
      </c>
      <c r="AH133" s="285">
        <f t="shared" si="216"/>
        <v>8.7375178316690505E-2</v>
      </c>
      <c r="AI133" s="285">
        <f>AI131/AH131-1</f>
        <v>-0.1610364053788127</v>
      </c>
      <c r="AJ133" s="285">
        <f t="shared" ref="AJ133:AU133" si="217">AJ131/AI128-1</f>
        <v>-1.4533965244865721E-2</v>
      </c>
      <c r="AK133" s="285">
        <f t="shared" si="217"/>
        <v>8.0153895479320392E-2</v>
      </c>
      <c r="AL133" s="285">
        <f t="shared" si="217"/>
        <v>1.4544375185514991E-2</v>
      </c>
      <c r="AM133" s="285">
        <f t="shared" si="217"/>
        <v>-1.0825043885313024E-2</v>
      </c>
      <c r="AN133" s="285">
        <f t="shared" si="217"/>
        <v>-1</v>
      </c>
      <c r="AO133" s="129" t="e">
        <f t="shared" si="217"/>
        <v>#DIV/0!</v>
      </c>
      <c r="AP133" s="129" t="e">
        <f t="shared" si="217"/>
        <v>#DIV/0!</v>
      </c>
      <c r="AQ133" s="129" t="e">
        <f t="shared" si="217"/>
        <v>#DIV/0!</v>
      </c>
      <c r="AR133" s="285" t="e">
        <f t="shared" si="217"/>
        <v>#DIV/0!</v>
      </c>
      <c r="AS133" s="285" t="e">
        <f t="shared" si="217"/>
        <v>#DIV/0!</v>
      </c>
      <c r="AT133" s="285" t="e">
        <f t="shared" si="217"/>
        <v>#DIV/0!</v>
      </c>
      <c r="AU133" s="129" t="e">
        <f t="shared" si="217"/>
        <v>#DIV/0!</v>
      </c>
      <c r="BA133" s="44"/>
    </row>
    <row r="134" spans="1:61" x14ac:dyDescent="0.25">
      <c r="A134" s="43" t="s">
        <v>350</v>
      </c>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289">
        <f t="shared" ref="AF134:AM134" si="218">AF18-AF131</f>
        <v>3824.1509999999998</v>
      </c>
      <c r="AG134" s="289">
        <f t="shared" si="218"/>
        <v>3781.009</v>
      </c>
      <c r="AH134" s="289">
        <f t="shared" si="218"/>
        <v>3524.991</v>
      </c>
      <c r="AI134" s="289">
        <f t="shared" si="218"/>
        <v>3794.9440000000004</v>
      </c>
      <c r="AJ134" s="289">
        <f t="shared" si="218"/>
        <v>3128.3630000000003</v>
      </c>
      <c r="AK134" s="289">
        <f t="shared" si="218"/>
        <v>3357.8360000000002</v>
      </c>
      <c r="AL134" s="289">
        <f t="shared" si="218"/>
        <v>3407.9939999999997</v>
      </c>
      <c r="AM134" s="289">
        <f t="shared" si="218"/>
        <v>3572.857</v>
      </c>
      <c r="AN134" s="133"/>
      <c r="AO134" s="289">
        <f>AO18-AO131</f>
        <v>7332.7409999999991</v>
      </c>
      <c r="AP134" s="289">
        <f>AP18-AP131</f>
        <v>7520.6000000000031</v>
      </c>
      <c r="AQ134" s="289">
        <f>AQ18-AQ131</f>
        <v>7546.5939999999982</v>
      </c>
      <c r="AR134" s="133"/>
      <c r="AS134" s="133"/>
      <c r="AT134" s="133"/>
      <c r="AU134" s="289">
        <f>AU18-AU131</f>
        <v>8454.8470000000016</v>
      </c>
      <c r="BA134" s="44"/>
    </row>
    <row r="135" spans="1:61" x14ac:dyDescent="0.25">
      <c r="AF135" s="51"/>
      <c r="AG135" s="51"/>
      <c r="AH135" s="51"/>
      <c r="AI135" s="51"/>
      <c r="AJ135" s="51"/>
      <c r="AK135" s="51"/>
      <c r="AL135" s="51"/>
      <c r="AM135" s="51"/>
      <c r="AN135" s="51"/>
      <c r="AO135" s="51"/>
      <c r="AP135" s="51"/>
      <c r="AQ135" s="51"/>
      <c r="AR135" s="51"/>
      <c r="AS135" s="51"/>
      <c r="AT135" s="51"/>
      <c r="AU135" s="51"/>
      <c r="BA135" s="44"/>
    </row>
    <row r="136" spans="1:61" x14ac:dyDescent="0.25">
      <c r="BA136" s="44"/>
    </row>
    <row r="137" spans="1:61" x14ac:dyDescent="0.25">
      <c r="A137" s="43" t="s">
        <v>387</v>
      </c>
      <c r="AI137" s="279">
        <f t="shared" ref="AI137:AS137" si="219">AI13+AI15</f>
        <v>6044.125</v>
      </c>
      <c r="AJ137" s="279">
        <f t="shared" si="219"/>
        <v>5942.2250000000004</v>
      </c>
      <c r="AK137" s="279">
        <f t="shared" si="219"/>
        <v>6433.366</v>
      </c>
      <c r="AL137" s="279">
        <f t="shared" si="219"/>
        <v>6491.942</v>
      </c>
      <c r="AM137" s="279">
        <f t="shared" si="219"/>
        <v>6560.6369999999997</v>
      </c>
      <c r="AN137" s="279">
        <f t="shared" si="219"/>
        <v>6608.22</v>
      </c>
      <c r="AO137" s="279">
        <f t="shared" si="219"/>
        <v>7453.7699999999995</v>
      </c>
      <c r="AP137" s="279">
        <f t="shared" si="219"/>
        <v>7448.5709999999999</v>
      </c>
      <c r="AQ137" s="279">
        <f t="shared" si="219"/>
        <v>7662.4429999999993</v>
      </c>
      <c r="AR137" s="279">
        <f t="shared" si="219"/>
        <v>7550.473</v>
      </c>
      <c r="AS137" s="279">
        <f t="shared" si="219"/>
        <v>8222.5400000000009</v>
      </c>
      <c r="AT137" s="279">
        <f t="shared" ref="AT137:AU137" si="220">AT13+AT15</f>
        <v>8107.0610000000006</v>
      </c>
      <c r="AU137" s="279">
        <f t="shared" si="220"/>
        <v>8457.0879999999997</v>
      </c>
    </row>
    <row r="138" spans="1:61" x14ac:dyDescent="0.25">
      <c r="AI138" s="134" t="e">
        <f>AI137/AE137-1</f>
        <v>#DIV/0!</v>
      </c>
      <c r="AJ138" s="134" t="e">
        <f t="shared" ref="AJ138:AU138" si="221">AJ137/AF137-1</f>
        <v>#DIV/0!</v>
      </c>
      <c r="AK138" s="134" t="e">
        <f t="shared" si="221"/>
        <v>#DIV/0!</v>
      </c>
      <c r="AL138" s="134" t="e">
        <f t="shared" si="221"/>
        <v>#DIV/0!</v>
      </c>
      <c r="AM138" s="150">
        <f t="shared" si="221"/>
        <v>8.5456869273881519E-2</v>
      </c>
      <c r="AN138" s="150">
        <f t="shared" si="221"/>
        <v>0.11207838814585447</v>
      </c>
      <c r="AO138" s="150">
        <f t="shared" si="221"/>
        <v>0.15861121534201539</v>
      </c>
      <c r="AP138" s="150">
        <f t="shared" si="221"/>
        <v>0.1473563688646633</v>
      </c>
      <c r="AQ138" s="150">
        <f t="shared" si="221"/>
        <v>0.16794192393208163</v>
      </c>
      <c r="AR138" s="150">
        <f t="shared" si="221"/>
        <v>0.14258801916401076</v>
      </c>
      <c r="AS138" s="150">
        <f t="shared" si="221"/>
        <v>0.1031384118372316</v>
      </c>
      <c r="AT138" s="150">
        <f t="shared" si="221"/>
        <v>8.8404876586394954E-2</v>
      </c>
      <c r="AU138" s="150">
        <f t="shared" si="221"/>
        <v>0.10370648107920677</v>
      </c>
    </row>
    <row r="139" spans="1:61" x14ac:dyDescent="0.25">
      <c r="AI139" s="135"/>
      <c r="AJ139" s="135"/>
      <c r="AK139" s="135"/>
      <c r="AL139" s="135"/>
      <c r="AM139" s="135"/>
      <c r="AN139" s="135"/>
      <c r="AO139" s="135"/>
      <c r="AP139" s="135"/>
      <c r="AQ139" s="135"/>
      <c r="AR139" s="135"/>
      <c r="AS139" s="135"/>
      <c r="AT139" s="135"/>
      <c r="AU139" s="135"/>
    </row>
    <row r="140" spans="1:61" x14ac:dyDescent="0.25">
      <c r="AI140" s="47"/>
      <c r="AJ140" s="47"/>
      <c r="AK140" s="47"/>
      <c r="AL140" s="47"/>
      <c r="AM140" s="47"/>
      <c r="AN140" s="47"/>
      <c r="AO140" s="47"/>
      <c r="AP140" s="47"/>
      <c r="AQ140" s="47"/>
      <c r="AR140" s="47"/>
      <c r="AS140" s="47"/>
      <c r="AT140" s="47"/>
      <c r="AU140" s="47"/>
    </row>
    <row r="141" spans="1:61" x14ac:dyDescent="0.25">
      <c r="A141" s="43" t="s">
        <v>395</v>
      </c>
      <c r="AB141" s="51"/>
      <c r="AC141" s="51"/>
      <c r="AD141" s="51"/>
      <c r="AE141" s="51"/>
      <c r="AN141" s="368">
        <v>6224086</v>
      </c>
      <c r="AQ141" s="368">
        <v>26546951</v>
      </c>
      <c r="AR141" s="368">
        <v>6909320</v>
      </c>
      <c r="AS141" s="318"/>
      <c r="AT141" s="318"/>
      <c r="AU141" s="368"/>
    </row>
    <row r="142" spans="1:61" x14ac:dyDescent="0.25">
      <c r="A142" s="43" t="s">
        <v>396</v>
      </c>
      <c r="AF142" s="135"/>
      <c r="AG142" s="135"/>
      <c r="AH142" s="135"/>
      <c r="AI142" s="135"/>
      <c r="AJ142" s="135"/>
      <c r="AK142" s="135"/>
      <c r="AL142" s="135"/>
      <c r="AM142" s="135"/>
      <c r="AN142" s="368">
        <v>257856</v>
      </c>
      <c r="AO142" s="135"/>
      <c r="AP142" s="135"/>
      <c r="AQ142" s="135"/>
      <c r="AR142" s="368">
        <v>258253</v>
      </c>
      <c r="AS142" s="318"/>
      <c r="AT142" s="318"/>
      <c r="AU142" s="135"/>
    </row>
    <row r="143" spans="1:61" s="36" customFormat="1" x14ac:dyDescent="0.25">
      <c r="A143" s="36" t="s">
        <v>399</v>
      </c>
      <c r="AF143" s="319">
        <f t="shared" ref="AF143:AI143" si="222">AF145-AF144</f>
        <v>6246.5590000000002</v>
      </c>
      <c r="AG143" s="319">
        <f t="shared" si="222"/>
        <v>6411.1379999999999</v>
      </c>
      <c r="AH143" s="319">
        <f t="shared" si="222"/>
        <v>6391.9939999999997</v>
      </c>
      <c r="AI143" s="319">
        <f t="shared" si="222"/>
        <v>6186.1180000000004</v>
      </c>
      <c r="AJ143" s="319">
        <f t="shared" ref="AJ143:AR143" si="223">AJ145-AJ144</f>
        <v>6092.6880000000001</v>
      </c>
      <c r="AK143" s="319">
        <f t="shared" si="223"/>
        <v>6431.4440000000004</v>
      </c>
      <c r="AL143" s="319">
        <f t="shared" si="223"/>
        <v>6595.8620000000001</v>
      </c>
      <c r="AM143" s="319">
        <f t="shared" si="223"/>
        <v>6681.6620000000003</v>
      </c>
      <c r="AN143" s="319">
        <f t="shared" si="223"/>
        <v>6478.7960000000003</v>
      </c>
      <c r="AO143" s="319">
        <f t="shared" si="223"/>
        <v>6907.3310000000001</v>
      </c>
      <c r="AP143" s="319">
        <f t="shared" si="223"/>
        <v>7095.5999999999995</v>
      </c>
      <c r="AQ143" s="319">
        <f t="shared" si="223"/>
        <v>7083.5839999999998</v>
      </c>
      <c r="AR143" s="319">
        <f t="shared" si="223"/>
        <v>7164.424</v>
      </c>
      <c r="AS143" s="319">
        <f t="shared" ref="AS143:AU143" si="224">AS145-AS144</f>
        <v>7771.0259999999998</v>
      </c>
      <c r="AT143" s="319">
        <f t="shared" si="224"/>
        <v>7553.0720000000019</v>
      </c>
      <c r="AU143" s="319">
        <f t="shared" si="224"/>
        <v>7903.1859999999961</v>
      </c>
      <c r="AY143" s="294"/>
      <c r="AZ143" s="392"/>
      <c r="BA143" s="165"/>
      <c r="BB143" s="294"/>
      <c r="BC143" s="408"/>
      <c r="BD143" s="294"/>
      <c r="BE143" s="294"/>
      <c r="BF143" s="294"/>
      <c r="BG143" s="294"/>
      <c r="BH143" s="294"/>
      <c r="BI143" s="294"/>
    </row>
    <row r="144" spans="1:61" x14ac:dyDescent="0.25">
      <c r="A144" s="43" t="s">
        <v>397</v>
      </c>
      <c r="AF144" s="43">
        <v>250.59200000000001</v>
      </c>
      <c r="AG144" s="43">
        <v>178.13</v>
      </c>
      <c r="AH144" s="43">
        <v>177.738</v>
      </c>
      <c r="AI144" s="43">
        <v>166.82599999999999</v>
      </c>
      <c r="AJ144" s="43">
        <v>154.67500000000001</v>
      </c>
      <c r="AK144" s="43">
        <v>295.392</v>
      </c>
      <c r="AL144" s="43">
        <v>230.13200000000001</v>
      </c>
      <c r="AM144" s="43">
        <v>272.19499999999999</v>
      </c>
      <c r="AN144" s="43">
        <v>263.26299999999998</v>
      </c>
      <c r="AO144" s="43">
        <v>401.05</v>
      </c>
      <c r="AP144" s="43">
        <v>342.12200000000001</v>
      </c>
      <c r="AQ144" s="43">
        <v>358.512</v>
      </c>
      <c r="AR144" s="43">
        <v>255.10400000000001</v>
      </c>
      <c r="AS144" s="43">
        <v>337.09800000000001</v>
      </c>
      <c r="AT144" s="51">
        <f>AT7</f>
        <v>428.73099999999999</v>
      </c>
      <c r="AU144" s="51">
        <f>AU7</f>
        <v>409</v>
      </c>
    </row>
    <row r="145" spans="1:61" s="36" customFormat="1" x14ac:dyDescent="0.25">
      <c r="A145" s="36" t="s">
        <v>401</v>
      </c>
      <c r="AF145" s="43">
        <v>6497.1509999999998</v>
      </c>
      <c r="AG145" s="43">
        <v>6589.268</v>
      </c>
      <c r="AH145" s="43">
        <v>6569.732</v>
      </c>
      <c r="AI145" s="43">
        <v>6352.9440000000004</v>
      </c>
      <c r="AJ145" s="43">
        <v>6247.3630000000003</v>
      </c>
      <c r="AK145" s="43">
        <v>6726.8360000000002</v>
      </c>
      <c r="AL145" s="43">
        <v>6825.9939999999997</v>
      </c>
      <c r="AM145" s="43">
        <v>6953.857</v>
      </c>
      <c r="AN145" s="43">
        <v>6742.0590000000002</v>
      </c>
      <c r="AO145" s="43">
        <v>7308.3810000000003</v>
      </c>
      <c r="AP145" s="43">
        <v>7437.7219999999998</v>
      </c>
      <c r="AQ145" s="43">
        <v>7442.0959999999995</v>
      </c>
      <c r="AR145" s="43">
        <v>7419.5280000000002</v>
      </c>
      <c r="AS145" s="43">
        <v>8108.1239999999998</v>
      </c>
      <c r="AT145" s="51">
        <f>AT9</f>
        <v>7981.8030000000017</v>
      </c>
      <c r="AU145" s="51">
        <f>AU9</f>
        <v>8312.1859999999961</v>
      </c>
      <c r="AY145" s="294"/>
      <c r="AZ145" s="392"/>
      <c r="BA145" s="165"/>
      <c r="BB145" s="294"/>
      <c r="BC145" s="408"/>
      <c r="BD145" s="294"/>
      <c r="BE145" s="294"/>
      <c r="BF145" s="294"/>
      <c r="BG145" s="294"/>
      <c r="BH145" s="294"/>
      <c r="BI145" s="294"/>
    </row>
    <row r="146" spans="1:61" x14ac:dyDescent="0.25">
      <c r="A146" s="43" t="s">
        <v>394</v>
      </c>
      <c r="AF146" s="43">
        <v>0</v>
      </c>
      <c r="AG146" s="43">
        <v>0</v>
      </c>
      <c r="AH146" s="43">
        <v>0</v>
      </c>
      <c r="AI146" s="43">
        <v>0</v>
      </c>
      <c r="AJ146" s="43">
        <v>0</v>
      </c>
      <c r="AK146" s="43">
        <v>0</v>
      </c>
      <c r="AL146" s="43">
        <v>0</v>
      </c>
      <c r="AM146" s="43">
        <v>0</v>
      </c>
      <c r="AN146" s="51">
        <f>AN10</f>
        <v>0</v>
      </c>
      <c r="AO146" s="51">
        <f t="shared" ref="AO146:AU146" si="225">AO10</f>
        <v>24.359999999998763</v>
      </c>
      <c r="AP146" s="51">
        <f t="shared" si="225"/>
        <v>82.87800000000334</v>
      </c>
      <c r="AQ146" s="51">
        <f t="shared" si="225"/>
        <v>104.49799999999868</v>
      </c>
      <c r="AR146" s="51">
        <f t="shared" si="225"/>
        <v>127.79599999999937</v>
      </c>
      <c r="AS146" s="51">
        <f t="shared" si="225"/>
        <v>109.07900000000154</v>
      </c>
      <c r="AT146" s="51">
        <f t="shared" si="225"/>
        <v>121.47399999999743</v>
      </c>
      <c r="AU146" s="51">
        <f t="shared" si="225"/>
        <v>142.66100000000552</v>
      </c>
    </row>
    <row r="147" spans="1:61" s="36" customFormat="1" x14ac:dyDescent="0.25">
      <c r="A147" s="36" t="s">
        <v>400</v>
      </c>
      <c r="AF147" s="319">
        <f>AF145+AF146</f>
        <v>6497.1509999999998</v>
      </c>
      <c r="AG147" s="319">
        <f t="shared" ref="AG147:AS147" si="226">AG145+AG146</f>
        <v>6589.268</v>
      </c>
      <c r="AH147" s="319">
        <f t="shared" si="226"/>
        <v>6569.732</v>
      </c>
      <c r="AI147" s="319">
        <f t="shared" si="226"/>
        <v>6352.9440000000004</v>
      </c>
      <c r="AJ147" s="319">
        <f t="shared" si="226"/>
        <v>6247.3630000000003</v>
      </c>
      <c r="AK147" s="319">
        <f t="shared" si="226"/>
        <v>6726.8360000000002</v>
      </c>
      <c r="AL147" s="319">
        <f t="shared" si="226"/>
        <v>6825.9939999999997</v>
      </c>
      <c r="AM147" s="319">
        <f t="shared" si="226"/>
        <v>6953.857</v>
      </c>
      <c r="AN147" s="319">
        <f t="shared" si="226"/>
        <v>6742.0590000000002</v>
      </c>
      <c r="AO147" s="319">
        <f t="shared" si="226"/>
        <v>7332.7409999999991</v>
      </c>
      <c r="AP147" s="319">
        <f t="shared" si="226"/>
        <v>7520.6000000000031</v>
      </c>
      <c r="AQ147" s="319">
        <f t="shared" si="226"/>
        <v>7546.5939999999982</v>
      </c>
      <c r="AR147" s="319">
        <f t="shared" si="226"/>
        <v>7547.3239999999996</v>
      </c>
      <c r="AS147" s="319">
        <f t="shared" si="226"/>
        <v>8217.2030000000013</v>
      </c>
      <c r="AT147" s="319">
        <f t="shared" ref="AT147:AU147" si="227">AT145+AT146</f>
        <v>8103.2769999999991</v>
      </c>
      <c r="AU147" s="319">
        <f t="shared" si="227"/>
        <v>8454.8470000000016</v>
      </c>
      <c r="AY147" s="294"/>
      <c r="AZ147" s="392"/>
      <c r="BA147" s="165"/>
      <c r="BB147" s="294"/>
      <c r="BC147" s="408"/>
      <c r="BD147" s="294"/>
      <c r="BE147" s="294"/>
      <c r="BF147" s="294"/>
      <c r="BG147" s="294"/>
      <c r="BH147" s="294"/>
      <c r="BI147" s="294"/>
    </row>
    <row r="148" spans="1:61" s="36" customFormat="1" x14ac:dyDescent="0.25">
      <c r="AN148" s="319"/>
      <c r="AR148" s="319"/>
      <c r="AS148" s="319"/>
      <c r="AT148" s="319"/>
      <c r="AY148" s="294"/>
      <c r="AZ148" s="392"/>
      <c r="BA148" s="165"/>
      <c r="BB148" s="294"/>
      <c r="BC148" s="408"/>
      <c r="BD148" s="294"/>
      <c r="BE148" s="294"/>
      <c r="BF148" s="294"/>
      <c r="BG148" s="294"/>
      <c r="BH148" s="294"/>
      <c r="BI148" s="294"/>
    </row>
    <row r="149" spans="1:61" x14ac:dyDescent="0.25">
      <c r="A149" s="405" t="s">
        <v>399</v>
      </c>
      <c r="B149" s="406"/>
      <c r="C149" s="406"/>
      <c r="D149" s="406"/>
      <c r="E149" s="406"/>
      <c r="F149" s="406"/>
      <c r="G149" s="406"/>
      <c r="H149" s="406"/>
      <c r="I149" s="406"/>
      <c r="J149" s="406"/>
      <c r="K149" s="406"/>
      <c r="L149" s="406"/>
      <c r="M149" s="406"/>
      <c r="N149" s="406"/>
      <c r="O149" s="406"/>
      <c r="P149" s="406"/>
      <c r="Q149" s="406"/>
      <c r="R149" s="406"/>
      <c r="S149" s="406"/>
      <c r="T149" s="406"/>
      <c r="U149" s="406"/>
      <c r="V149" s="406"/>
      <c r="W149" s="406"/>
      <c r="X149" s="406"/>
      <c r="Y149" s="406"/>
      <c r="Z149" s="406"/>
      <c r="AA149" s="406"/>
      <c r="AB149" s="406"/>
      <c r="AC149" s="406"/>
      <c r="AD149" s="406"/>
      <c r="AE149" s="406"/>
      <c r="AF149" s="406"/>
      <c r="AG149" s="406"/>
      <c r="AH149" s="406"/>
      <c r="AI149" s="406"/>
      <c r="AJ149" s="407">
        <f t="shared" ref="AJ149" si="228">AJ143/AF143-1</f>
        <v>-2.4632921901482141E-2</v>
      </c>
      <c r="AK149" s="407">
        <f t="shared" ref="AK149" si="229">AK143/AG143-1</f>
        <v>3.1673004075096767E-3</v>
      </c>
      <c r="AL149" s="407">
        <f t="shared" ref="AL149" si="230">AL143/AH143-1</f>
        <v>3.1894272741808116E-2</v>
      </c>
      <c r="AM149" s="407">
        <f t="shared" ref="AM149" si="231">AM143/AI143-1</f>
        <v>8.010581110803261E-2</v>
      </c>
      <c r="AN149" s="407">
        <f t="shared" ref="AN149:AU149" si="232">AN143/AJ143-1</f>
        <v>6.3372357159926729E-2</v>
      </c>
      <c r="AO149" s="407">
        <f t="shared" si="232"/>
        <v>7.3993802946896503E-2</v>
      </c>
      <c r="AP149" s="407">
        <f t="shared" si="232"/>
        <v>7.5765381386087016E-2</v>
      </c>
      <c r="AQ149" s="407">
        <f t="shared" si="232"/>
        <v>6.0152997861909085E-2</v>
      </c>
      <c r="AR149" s="407">
        <f t="shared" si="232"/>
        <v>0.10582645293971282</v>
      </c>
      <c r="AS149" s="407">
        <f t="shared" si="232"/>
        <v>0.12504033757756794</v>
      </c>
      <c r="AT149" s="407">
        <f t="shared" si="232"/>
        <v>6.4472630926208252E-2</v>
      </c>
      <c r="AU149" s="407">
        <f t="shared" si="232"/>
        <v>0.11570442307171014</v>
      </c>
    </row>
    <row r="150" spans="1:61" x14ac:dyDescent="0.25">
      <c r="A150" s="36" t="s">
        <v>398</v>
      </c>
      <c r="AJ150" s="134">
        <f t="shared" ref="AJ150" si="233">AJ145/AF145-1</f>
        <v>-3.8445774155472123E-2</v>
      </c>
      <c r="AK150" s="134">
        <f t="shared" ref="AK150" si="234">AK145/AG145-1</f>
        <v>2.0877584581473929E-2</v>
      </c>
      <c r="AL150" s="134">
        <f t="shared" ref="AL150" si="235">AL145/AH145-1</f>
        <v>3.9006461755213051E-2</v>
      </c>
      <c r="AM150" s="134">
        <f t="shared" ref="AM150" si="236">AM145/AI145-1</f>
        <v>9.4588115368244852E-2</v>
      </c>
      <c r="AN150" s="134">
        <f t="shared" ref="AN150:AU150" si="237">AN145/AJ145-1</f>
        <v>7.9184769638005692E-2</v>
      </c>
      <c r="AO150" s="134">
        <f t="shared" si="237"/>
        <v>8.6451490715694579E-2</v>
      </c>
      <c r="AP150" s="134">
        <f t="shared" si="237"/>
        <v>8.961742421689789E-2</v>
      </c>
      <c r="AQ150" s="134">
        <f t="shared" si="237"/>
        <v>7.0211251108557304E-2</v>
      </c>
      <c r="AR150" s="134">
        <f t="shared" si="237"/>
        <v>0.1004839916114646</v>
      </c>
      <c r="AS150" s="134">
        <f t="shared" si="237"/>
        <v>0.10942820304524337</v>
      </c>
      <c r="AT150" s="134">
        <f t="shared" si="237"/>
        <v>7.3151564417169856E-2</v>
      </c>
      <c r="AU150" s="134">
        <f t="shared" si="237"/>
        <v>0.11691464340153579</v>
      </c>
    </row>
    <row r="151" spans="1:61" x14ac:dyDescent="0.25">
      <c r="A151" s="36" t="s">
        <v>400</v>
      </c>
      <c r="AN151" s="134">
        <f>AN147/AJ147-1</f>
        <v>7.9184769638005692E-2</v>
      </c>
      <c r="AO151" s="134">
        <f t="shared" ref="AO151:AR151" si="238">AO147/AK147-1</f>
        <v>9.0072806888706447E-2</v>
      </c>
      <c r="AP151" s="134">
        <f t="shared" si="238"/>
        <v>0.10175895261554624</v>
      </c>
      <c r="AQ151" s="134">
        <f t="shared" si="238"/>
        <v>8.5238594926527522E-2</v>
      </c>
      <c r="AR151" s="134">
        <f t="shared" si="238"/>
        <v>0.1194390319040517</v>
      </c>
      <c r="AS151" s="134">
        <f>AS147/AO147-1</f>
        <v>0.12061819720620193</v>
      </c>
      <c r="AT151" s="134">
        <f>AT147/AP147-1</f>
        <v>7.7477461904634781E-2</v>
      </c>
      <c r="AU151" s="134">
        <f t="shared" ref="AU151" si="239">AU147/AQ147-1</f>
        <v>0.12035270480961402</v>
      </c>
    </row>
    <row r="153" spans="1:61" x14ac:dyDescent="0.25">
      <c r="A153" s="43" t="s">
        <v>435</v>
      </c>
      <c r="AF153" s="51"/>
      <c r="AG153" s="51"/>
      <c r="AH153" s="51"/>
      <c r="AI153" s="51"/>
      <c r="AJ153" s="51"/>
      <c r="AK153" s="51"/>
      <c r="AL153" s="51"/>
      <c r="AM153" s="51"/>
      <c r="AN153" s="51"/>
      <c r="AO153" s="51"/>
      <c r="AP153" s="134">
        <f>'Domestic Mobile Operations'!AP37</f>
        <v>8.1081081081081141E-2</v>
      </c>
      <c r="AQ153" s="134">
        <f>'Domestic Mobile Operations'!AQ37</f>
        <v>8.1081081081081141E-2</v>
      </c>
      <c r="AR153" s="134">
        <f>'Domestic Mobile Operations'!AR37</f>
        <v>0.11111111111111116</v>
      </c>
      <c r="AS153" s="134">
        <f>'Domestic Mobile Operations'!AS37</f>
        <v>7.6923076923076872E-2</v>
      </c>
      <c r="AT153" s="134">
        <f>'Domestic Mobile Operations'!AT37</f>
        <v>5.0000000000000044E-2</v>
      </c>
      <c r="AU153" s="134">
        <f>'Domestic Mobile Operations'!AU37</f>
        <v>7.4999999999999956E-2</v>
      </c>
    </row>
    <row r="154" spans="1:61" x14ac:dyDescent="0.25">
      <c r="A154" s="43" t="s">
        <v>436</v>
      </c>
      <c r="AP154" s="134">
        <f>'Domestic Mobile Operations'!AP33</f>
        <v>-1.0003449465332825E-2</v>
      </c>
      <c r="AQ154" s="134">
        <f>'Domestic Mobile Operations'!AQ33</f>
        <v>-7.0799516491106829E-3</v>
      </c>
      <c r="AR154" s="134">
        <f>'Domestic Mobile Operations'!AR33</f>
        <v>1.5789473684210575E-2</v>
      </c>
      <c r="AS154" s="134">
        <f>'Domestic Mobile Operations'!AS33</f>
        <v>1.3454481915079475E-2</v>
      </c>
      <c r="AT154" s="134">
        <f>'Domestic Mobile Operations'!AT33</f>
        <v>1.7421602787457413E-3</v>
      </c>
      <c r="AU154" s="134">
        <f>'Domestic Mobile Operations'!AU33</f>
        <v>0</v>
      </c>
    </row>
  </sheetData>
  <phoneticPr fontId="15"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7621-69CE-4776-B6A9-06B79AE66325}">
  <sheetPr codeName="Sheet6"/>
  <dimension ref="H4:N21"/>
  <sheetViews>
    <sheetView workbookViewId="0">
      <selection activeCell="I11" sqref="I11"/>
    </sheetView>
  </sheetViews>
  <sheetFormatPr defaultRowHeight="14.4" x14ac:dyDescent="0.3"/>
  <cols>
    <col min="8" max="8" width="10" bestFit="1" customWidth="1"/>
    <col min="9" max="9" width="9.33203125" customWidth="1"/>
  </cols>
  <sheetData>
    <row r="4" spans="8:14" x14ac:dyDescent="0.3">
      <c r="J4" s="29" t="s">
        <v>352</v>
      </c>
      <c r="K4" s="30"/>
      <c r="M4" s="31" t="s">
        <v>356</v>
      </c>
      <c r="N4" s="32"/>
    </row>
    <row r="5" spans="8:14" x14ac:dyDescent="0.3">
      <c r="H5" s="28">
        <v>2020</v>
      </c>
      <c r="J5" s="28">
        <v>2021</v>
      </c>
      <c r="K5" s="28">
        <v>2022</v>
      </c>
      <c r="M5" s="28">
        <v>2021</v>
      </c>
      <c r="N5" s="28">
        <v>2022</v>
      </c>
    </row>
    <row r="6" spans="8:14" x14ac:dyDescent="0.3">
      <c r="H6" s="27">
        <v>26019</v>
      </c>
      <c r="I6" t="s">
        <v>357</v>
      </c>
      <c r="J6" s="27">
        <v>26551</v>
      </c>
      <c r="K6" s="27">
        <v>27470</v>
      </c>
      <c r="L6" s="27"/>
      <c r="M6" s="27">
        <v>26722</v>
      </c>
      <c r="N6" s="27">
        <v>28276</v>
      </c>
    </row>
    <row r="7" spans="8:14" x14ac:dyDescent="0.3">
      <c r="H7" s="26">
        <v>3.5000000000000003E-2</v>
      </c>
      <c r="I7" t="s">
        <v>353</v>
      </c>
      <c r="J7" s="26">
        <f>J6/H6-1</f>
        <v>2.044659671778315E-2</v>
      </c>
      <c r="K7" s="26">
        <f>K6/J6-1</f>
        <v>3.4612632292569057E-2</v>
      </c>
      <c r="M7" s="26">
        <f>M6/H6-1</f>
        <v>2.7018717091356281E-2</v>
      </c>
      <c r="N7" s="26">
        <f>N6/M6-1</f>
        <v>5.815432976573609E-2</v>
      </c>
    </row>
    <row r="8" spans="8:14" x14ac:dyDescent="0.3">
      <c r="H8" s="27">
        <v>26019</v>
      </c>
      <c r="I8" t="s">
        <v>358</v>
      </c>
      <c r="J8" s="26"/>
      <c r="K8" s="26"/>
      <c r="M8" s="26"/>
      <c r="N8" s="26"/>
    </row>
    <row r="9" spans="8:14" x14ac:dyDescent="0.3">
      <c r="H9" s="26"/>
      <c r="I9" t="s">
        <v>359</v>
      </c>
      <c r="J9" s="26"/>
      <c r="K9" s="26"/>
      <c r="M9" s="26"/>
      <c r="N9" s="26"/>
    </row>
    <row r="10" spans="8:14" x14ac:dyDescent="0.3">
      <c r="H10" s="27">
        <v>13060</v>
      </c>
      <c r="I10" t="s">
        <v>4</v>
      </c>
      <c r="J10" s="27">
        <v>13607</v>
      </c>
      <c r="K10" s="27">
        <v>13871</v>
      </c>
      <c r="M10" s="27">
        <v>13485</v>
      </c>
      <c r="N10" s="27">
        <v>14600</v>
      </c>
    </row>
    <row r="11" spans="8:14" x14ac:dyDescent="0.3">
      <c r="H11" s="26">
        <f>H10/H6</f>
        <v>0.50194088935009029</v>
      </c>
      <c r="I11" t="s">
        <v>354</v>
      </c>
      <c r="J11" s="26">
        <f>J10/J6</f>
        <v>0.51248540544612253</v>
      </c>
      <c r="K11" s="26">
        <f>K10/K6</f>
        <v>0.504950855478704</v>
      </c>
      <c r="M11" s="26">
        <f>M10/M6</f>
        <v>0.5046403712296984</v>
      </c>
      <c r="N11" s="26">
        <f>N10/N6</f>
        <v>0.51633894468807473</v>
      </c>
    </row>
    <row r="12" spans="8:14" x14ac:dyDescent="0.3">
      <c r="J12" s="26">
        <f>J10/H10-1</f>
        <v>4.1883614088820798E-2</v>
      </c>
      <c r="K12" s="26">
        <f>K10/J10-1</f>
        <v>1.9401778496362265E-2</v>
      </c>
    </row>
    <row r="14" spans="8:14" x14ac:dyDescent="0.3">
      <c r="H14" s="27">
        <v>7446</v>
      </c>
      <c r="I14" t="s">
        <v>355</v>
      </c>
      <c r="J14" s="27">
        <v>8496</v>
      </c>
      <c r="K14" s="27">
        <v>7417</v>
      </c>
      <c r="M14" s="27">
        <v>9684.2999999999993</v>
      </c>
      <c r="N14" s="27">
        <v>8093.6</v>
      </c>
    </row>
    <row r="15" spans="8:14" x14ac:dyDescent="0.3">
      <c r="J15" s="27"/>
    </row>
    <row r="16" spans="8:14" x14ac:dyDescent="0.3">
      <c r="N16">
        <v>9000</v>
      </c>
    </row>
    <row r="17" spans="10:14" x14ac:dyDescent="0.3">
      <c r="N17" s="25"/>
    </row>
    <row r="19" spans="10:14" x14ac:dyDescent="0.3">
      <c r="J19" s="27"/>
    </row>
    <row r="20" spans="10:14" x14ac:dyDescent="0.3">
      <c r="J20" s="25"/>
    </row>
    <row r="21" spans="10:14" x14ac:dyDescent="0.3">
      <c r="J21" s="27"/>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C86"/>
  <sheetViews>
    <sheetView showGridLines="0" zoomScale="70" zoomScaleNormal="70" workbookViewId="0">
      <pane xSplit="3" ySplit="2" topLeftCell="AK3" activePane="bottomRight" state="frozen"/>
      <selection activeCell="AU7" sqref="AU7 AU9 AU11 AU21:AU23 AU25 AU42 AU60 AU141 AU144:AU146"/>
      <selection pane="topRight" activeCell="AU7" sqref="AU7 AU9 AU11 AU21:AU23 AU25 AU42 AU60 AU141 AU144:AU146"/>
      <selection pane="bottomLeft" activeCell="AU7" sqref="AU7 AU9 AU11 AU21:AU23 AU25 AU42 AU60 AU141 AU144:AU146"/>
      <selection pane="bottomRight" activeCell="AU55" sqref="AU55"/>
    </sheetView>
  </sheetViews>
  <sheetFormatPr defaultColWidth="9.21875" defaultRowHeight="13.2" outlineLevelCol="1" x14ac:dyDescent="0.25"/>
  <cols>
    <col min="1" max="1" width="51.21875" style="43" bestFit="1" customWidth="1"/>
    <col min="2" max="3" width="6.21875" style="43" hidden="1" customWidth="1" outlineLevel="1"/>
    <col min="4" max="4" width="12.77734375" style="43" hidden="1" customWidth="1" outlineLevel="1"/>
    <col min="5" max="10" width="13.21875" style="43" hidden="1" customWidth="1" outlineLevel="1"/>
    <col min="11" max="11" width="13.77734375" style="43" hidden="1" customWidth="1" outlineLevel="1"/>
    <col min="12" max="23" width="13.21875" style="43" hidden="1" customWidth="1" outlineLevel="1"/>
    <col min="24" max="24" width="13.21875" style="43" customWidth="1" collapsed="1"/>
    <col min="25" max="47" width="13.21875" style="43" customWidth="1"/>
    <col min="48" max="48" width="6.77734375" style="43" customWidth="1"/>
    <col min="49" max="49" width="43.44140625" style="43" bestFit="1" customWidth="1"/>
    <col min="50" max="50" width="10.21875" style="43" bestFit="1" customWidth="1"/>
    <col min="51" max="52" width="9.21875" style="43"/>
    <col min="53" max="53" width="10" style="43" bestFit="1" customWidth="1"/>
    <col min="54" max="16384" width="9.21875" style="43"/>
  </cols>
  <sheetData>
    <row r="1" spans="1:50" s="36" customFormat="1" x14ac:dyDescent="0.25">
      <c r="A1" s="33" t="s">
        <v>88</v>
      </c>
      <c r="B1" s="33"/>
      <c r="C1" s="33"/>
      <c r="D1" s="34" t="str">
        <f>'Reported Group Highlights'!D1</f>
        <v>1Q13</v>
      </c>
      <c r="E1" s="34" t="str">
        <f>'Reported Group Highlights'!E1</f>
        <v>2Q13</v>
      </c>
      <c r="F1" s="34" t="str">
        <f>'Reported Group Highlights'!F1</f>
        <v>3Q13</v>
      </c>
      <c r="G1" s="34" t="str">
        <f>'Reported Group Highlights'!G1</f>
        <v>4Q13</v>
      </c>
      <c r="H1" s="34" t="str">
        <f>'Reported Group Highlights'!H1</f>
        <v>1Q14</v>
      </c>
      <c r="I1" s="34" t="str">
        <f>'Reported Group Highlights'!I1</f>
        <v>2Q14</v>
      </c>
      <c r="J1" s="34" t="str">
        <f>'Reported Group Highlights'!J1</f>
        <v>3Q14</v>
      </c>
      <c r="K1" s="34" t="str">
        <f>'Reported Group Highlights'!K1</f>
        <v>4Q14</v>
      </c>
      <c r="L1" s="34" t="str">
        <f>'Reported Group Highlights'!L1</f>
        <v>1Q15</v>
      </c>
      <c r="M1" s="34" t="str">
        <f>'Reported Group Highlights'!M1</f>
        <v>2Q15</v>
      </c>
      <c r="N1" s="34" t="str">
        <f>'Reported Group Highlights'!N1</f>
        <v>3Q15</v>
      </c>
      <c r="O1" s="34" t="str">
        <f>'Reported Group Highlights'!O1</f>
        <v>4Q15</v>
      </c>
      <c r="P1" s="34" t="str">
        <f>'Reported Group Highlights'!P1</f>
        <v>1Q16</v>
      </c>
      <c r="Q1" s="34" t="str">
        <f>'Reported Group Highlights'!Q1</f>
        <v>2Q16</v>
      </c>
      <c r="R1" s="34" t="str">
        <f>'Reported Group Highlights'!R1</f>
        <v>3Q16</v>
      </c>
      <c r="S1" s="34" t="str">
        <f>'Reported Group Highlights'!S1</f>
        <v>4Q16</v>
      </c>
      <c r="T1" s="34" t="str">
        <f>'Reported Group Highlights'!T1</f>
        <v>1Q17</v>
      </c>
      <c r="U1" s="34" t="str">
        <f>'Reported Group Highlights'!U1</f>
        <v>2Q17</v>
      </c>
      <c r="V1" s="34" t="str">
        <f>'Reported Group Highlights'!V1</f>
        <v>3Q17</v>
      </c>
      <c r="W1" s="34" t="str">
        <f>'Reported Group Highlights'!W1</f>
        <v>4Q17</v>
      </c>
      <c r="X1" s="34" t="str">
        <f>'Reported Group Highlights'!X1</f>
        <v>1Q18</v>
      </c>
      <c r="Y1" s="34" t="str">
        <f>'Reported Group Highlights'!Y1</f>
        <v>2Q18</v>
      </c>
      <c r="Z1" s="34" t="str">
        <f>'Reported Group Highlights'!Z1</f>
        <v>3Q18</v>
      </c>
      <c r="AA1" s="34" t="str">
        <f>'Reported Group Highlights'!AA1</f>
        <v>4Q18</v>
      </c>
      <c r="AB1" s="34" t="str">
        <f>'Reported Group Highlights'!AB1</f>
        <v>1Q19</v>
      </c>
      <c r="AC1" s="34" t="str">
        <f>'Reported Group Highlights'!AC1</f>
        <v>2Q19</v>
      </c>
      <c r="AD1" s="34" t="str">
        <f>'Reported Group Highlights'!AD1</f>
        <v>3Q19</v>
      </c>
      <c r="AE1" s="34" t="str">
        <f>'Reported Group Highlights'!AE1</f>
        <v>4Q19</v>
      </c>
      <c r="AF1" s="34" t="str">
        <f>'Reported Group Highlights'!AF1</f>
        <v>1Q20</v>
      </c>
      <c r="AG1" s="34" t="str">
        <f>'Reported Group Highlights'!AG1</f>
        <v>2Q20</v>
      </c>
      <c r="AH1" s="34" t="str">
        <f>'Reported Group Highlights'!AH1</f>
        <v>3Q20</v>
      </c>
      <c r="AI1" s="34" t="str">
        <f>'Reported Group Highlights'!AI1</f>
        <v>4Q20</v>
      </c>
      <c r="AJ1" s="34" t="str">
        <f>'Reported Group Highlights'!AJ1</f>
        <v>1Q21</v>
      </c>
      <c r="AK1" s="34" t="str">
        <f>'Reported Group Highlights'!AK1</f>
        <v>2Q21</v>
      </c>
      <c r="AL1" s="34" t="str">
        <f>'Reported Group Highlights'!AL1</f>
        <v>3Q21</v>
      </c>
      <c r="AM1" s="34" t="str">
        <f>'Reported Group Highlights'!AM1</f>
        <v>4Q21</v>
      </c>
      <c r="AN1" s="34" t="str">
        <f>'Reported Group Highlights'!AN1</f>
        <v>1Q22</v>
      </c>
      <c r="AO1" s="34" t="str">
        <f>'Reported Group Highlights'!AO1</f>
        <v>2Q22</v>
      </c>
      <c r="AP1" s="34" t="str">
        <f>'Reported Group Highlights'!AP1</f>
        <v>3Q22</v>
      </c>
      <c r="AQ1" s="34" t="str">
        <f>'Reported Group Highlights'!AQ1</f>
        <v>4Q22</v>
      </c>
      <c r="AR1" s="34" t="str">
        <f>'Reported Group Highlights'!AR1</f>
        <v>1Q23</v>
      </c>
      <c r="AS1" s="34" t="str">
        <f>'Reported Group Highlights'!AS1</f>
        <v>2Q23</v>
      </c>
      <c r="AT1" s="34" t="str">
        <f>'Reported Group Highlights'!AT1</f>
        <v>3Q23</v>
      </c>
      <c r="AU1" s="34" t="str">
        <f>'Reported Group Highlights'!AU1</f>
        <v>4Q23</v>
      </c>
      <c r="AV1" s="33"/>
      <c r="AW1" s="33" t="s">
        <v>11</v>
      </c>
      <c r="AX1" s="33" t="s">
        <v>376</v>
      </c>
    </row>
    <row r="2" spans="1:50" s="36" customFormat="1" x14ac:dyDescent="0.25">
      <c r="A2" s="33" t="s">
        <v>372</v>
      </c>
      <c r="B2" s="33"/>
      <c r="C2" s="33"/>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3"/>
      <c r="AW2" s="33"/>
      <c r="AX2" s="33"/>
    </row>
    <row r="3" spans="1:50" x14ac:dyDescent="0.25">
      <c r="A3" s="37"/>
      <c r="B3" s="172"/>
      <c r="C3" s="172"/>
      <c r="D3" s="41"/>
      <c r="E3" s="41"/>
      <c r="F3" s="41"/>
      <c r="G3" s="40"/>
      <c r="H3" s="39"/>
      <c r="I3" s="38"/>
      <c r="J3" s="41"/>
      <c r="K3" s="41"/>
      <c r="L3" s="41"/>
      <c r="M3" s="40"/>
      <c r="N3" s="39"/>
      <c r="O3" s="38"/>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173"/>
    </row>
    <row r="4" spans="1:50" x14ac:dyDescent="0.25">
      <c r="A4" s="174"/>
      <c r="B4" s="175"/>
      <c r="C4" s="175"/>
      <c r="D4" s="176"/>
      <c r="E4" s="176"/>
      <c r="F4" s="176"/>
      <c r="G4" s="176"/>
      <c r="H4" s="176"/>
      <c r="I4" s="176"/>
      <c r="J4" s="176"/>
      <c r="K4" s="176"/>
      <c r="L4" s="176"/>
      <c r="M4" s="176"/>
      <c r="N4" s="176"/>
      <c r="O4" s="176"/>
      <c r="P4" s="176"/>
      <c r="Q4" s="176"/>
      <c r="R4" s="176"/>
      <c r="S4" s="176"/>
      <c r="T4" s="176"/>
      <c r="U4" s="176"/>
      <c r="V4" s="176"/>
      <c r="W4" s="176"/>
      <c r="X4" s="176"/>
      <c r="Y4" s="176"/>
      <c r="Z4" s="176"/>
      <c r="AA4" s="176"/>
      <c r="AB4" s="176"/>
      <c r="AC4" s="176"/>
      <c r="AD4" s="176"/>
      <c r="AE4" s="176"/>
      <c r="AF4" s="176"/>
      <c r="AG4" s="176"/>
      <c r="AH4" s="176"/>
      <c r="AI4" s="176"/>
      <c r="AJ4" s="176"/>
      <c r="AK4" s="176"/>
      <c r="AL4" s="176"/>
      <c r="AM4" s="176"/>
      <c r="AN4" s="176"/>
      <c r="AO4" s="176"/>
      <c r="AP4" s="176"/>
      <c r="AQ4" s="176"/>
      <c r="AR4" s="176"/>
      <c r="AS4" s="176"/>
      <c r="AT4" s="176"/>
      <c r="AU4" s="176"/>
    </row>
    <row r="5" spans="1:50" ht="17.25" customHeight="1" x14ac:dyDescent="0.25">
      <c r="A5" s="177" t="s">
        <v>16</v>
      </c>
      <c r="B5" s="178"/>
      <c r="C5" s="178"/>
      <c r="D5" s="179"/>
      <c r="E5" s="179"/>
      <c r="F5" s="179"/>
      <c r="G5" s="179"/>
      <c r="H5" s="179"/>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79"/>
      <c r="AJ5" s="179"/>
      <c r="AK5" s="179"/>
      <c r="AL5" s="179"/>
      <c r="AM5" s="179"/>
      <c r="AN5" s="179"/>
      <c r="AO5" s="179"/>
      <c r="AP5" s="179"/>
      <c r="AQ5" s="179"/>
      <c r="AR5" s="179"/>
      <c r="AS5" s="179"/>
      <c r="AT5" s="179"/>
      <c r="AU5" s="179"/>
    </row>
    <row r="6" spans="1:50" ht="17.25" customHeight="1" x14ac:dyDescent="0.25">
      <c r="A6" s="180" t="s">
        <v>42</v>
      </c>
      <c r="B6" s="178"/>
      <c r="C6" s="178"/>
      <c r="D6" s="179">
        <v>517</v>
      </c>
      <c r="E6" s="179">
        <v>1902</v>
      </c>
      <c r="F6" s="179">
        <v>2117</v>
      </c>
      <c r="G6" s="179">
        <v>1318</v>
      </c>
      <c r="H6" s="179">
        <v>2472</v>
      </c>
      <c r="I6" s="179">
        <v>2490</v>
      </c>
      <c r="J6" s="179">
        <v>3147</v>
      </c>
      <c r="K6" s="179">
        <v>6951</v>
      </c>
      <c r="L6" s="179">
        <v>6853</v>
      </c>
      <c r="M6" s="179">
        <v>5500</v>
      </c>
      <c r="N6" s="179">
        <v>3644</v>
      </c>
      <c r="O6" s="179">
        <v>3312</v>
      </c>
      <c r="P6" s="179">
        <v>2222</v>
      </c>
      <c r="Q6" s="179">
        <v>6217</v>
      </c>
      <c r="R6" s="179">
        <v>3343</v>
      </c>
      <c r="S6" s="179">
        <v>1400</v>
      </c>
      <c r="T6" s="179">
        <v>1730</v>
      </c>
      <c r="U6" s="179">
        <v>1943</v>
      </c>
      <c r="V6" s="179">
        <v>1299</v>
      </c>
      <c r="W6" s="179">
        <v>2455</v>
      </c>
      <c r="X6" s="179">
        <v>3289</v>
      </c>
      <c r="Y6" s="179">
        <v>2094</v>
      </c>
      <c r="Z6" s="179">
        <v>2399</v>
      </c>
      <c r="AA6" s="179">
        <v>1047</v>
      </c>
      <c r="AB6" s="179">
        <v>1597</v>
      </c>
      <c r="AC6" s="179">
        <v>2208</v>
      </c>
      <c r="AD6" s="179">
        <v>1496</v>
      </c>
      <c r="AE6" s="179">
        <v>1603</v>
      </c>
      <c r="AF6" s="179">
        <v>2982.328</v>
      </c>
      <c r="AG6" s="179">
        <v>4273.6149999999998</v>
      </c>
      <c r="AH6" s="179">
        <v>3052.4870000000001</v>
      </c>
      <c r="AI6" s="179">
        <v>2965.5889999999999</v>
      </c>
      <c r="AJ6" s="179">
        <v>1516</v>
      </c>
      <c r="AK6" s="179">
        <v>2406.1179999999999</v>
      </c>
      <c r="AL6" s="179">
        <v>3669.6089999999999</v>
      </c>
      <c r="AM6" s="179">
        <v>2664.3870000000002</v>
      </c>
      <c r="AN6" s="179">
        <v>1414.6679999999999</v>
      </c>
      <c r="AO6" s="179">
        <v>2008.4110000000001</v>
      </c>
      <c r="AP6" s="179">
        <v>5764.8059999999996</v>
      </c>
      <c r="AQ6" s="179">
        <v>5152.3029999999999</v>
      </c>
      <c r="AR6" s="179">
        <v>1701.623</v>
      </c>
      <c r="AS6" s="179">
        <v>1540.6179999999999</v>
      </c>
      <c r="AT6" s="179">
        <v>1817.6189999999999</v>
      </c>
      <c r="AU6" s="179">
        <v>966.02700000000004</v>
      </c>
    </row>
    <row r="7" spans="1:50" ht="17.25" customHeight="1" x14ac:dyDescent="0.25">
      <c r="A7" s="180" t="s">
        <v>17</v>
      </c>
      <c r="B7" s="181"/>
      <c r="C7" s="181"/>
      <c r="D7" s="226">
        <v>3860</v>
      </c>
      <c r="E7" s="226">
        <v>3464</v>
      </c>
      <c r="F7" s="226">
        <v>3328</v>
      </c>
      <c r="G7" s="226">
        <v>4526</v>
      </c>
      <c r="H7" s="226">
        <v>6721</v>
      </c>
      <c r="I7" s="226">
        <v>6335</v>
      </c>
      <c r="J7" s="226">
        <v>6671</v>
      </c>
      <c r="K7" s="226">
        <v>6358</v>
      </c>
      <c r="L7" s="226">
        <v>7479</v>
      </c>
      <c r="M7" s="226">
        <v>6914</v>
      </c>
      <c r="N7" s="226">
        <v>6127</v>
      </c>
      <c r="O7" s="226">
        <v>6840</v>
      </c>
      <c r="P7" s="226">
        <v>6446</v>
      </c>
      <c r="Q7" s="226">
        <v>4539</v>
      </c>
      <c r="R7" s="226">
        <v>3867</v>
      </c>
      <c r="S7" s="226">
        <v>5407</v>
      </c>
      <c r="T7" s="226">
        <v>5468</v>
      </c>
      <c r="U7" s="182">
        <v>4941</v>
      </c>
      <c r="V7" s="182">
        <v>4049</v>
      </c>
      <c r="W7" s="182">
        <v>4725</v>
      </c>
      <c r="X7" s="227">
        <v>5089</v>
      </c>
      <c r="Y7" s="179">
        <v>4658</v>
      </c>
      <c r="Z7" s="179">
        <v>6231</v>
      </c>
      <c r="AA7" s="227">
        <v>6012</v>
      </c>
      <c r="AB7" s="227">
        <f>AB8-AB6</f>
        <v>5076</v>
      </c>
      <c r="AC7" s="179">
        <f>AC8-AC6</f>
        <v>4355</v>
      </c>
      <c r="AD7" s="179">
        <f>AD8-AD6</f>
        <v>5549</v>
      </c>
      <c r="AE7" s="227">
        <v>5542</v>
      </c>
      <c r="AF7" s="227">
        <f t="shared" ref="AF7:AK7" si="0">AF8-AF6</f>
        <v>6005.4670000000006</v>
      </c>
      <c r="AG7" s="227">
        <f t="shared" si="0"/>
        <v>3456.2070000000003</v>
      </c>
      <c r="AH7" s="227">
        <f t="shared" si="0"/>
        <v>2272.6000000000004</v>
      </c>
      <c r="AI7" s="227">
        <f t="shared" si="0"/>
        <v>4605.5339999999997</v>
      </c>
      <c r="AJ7" s="227">
        <f t="shared" si="0"/>
        <v>4431</v>
      </c>
      <c r="AK7" s="227">
        <f t="shared" si="0"/>
        <v>3441.4259999999999</v>
      </c>
      <c r="AL7" s="227">
        <f t="shared" ref="AL7:AN7" si="1">AL8-AL6</f>
        <v>2938.3970000000004</v>
      </c>
      <c r="AM7" s="227">
        <f t="shared" si="1"/>
        <v>5068.8040000000001</v>
      </c>
      <c r="AN7" s="227">
        <f t="shared" si="1"/>
        <v>4785.7000000000007</v>
      </c>
      <c r="AO7" s="227">
        <f t="shared" ref="AO7:AP7" si="2">AO8-AO6</f>
        <v>3909.5659999999998</v>
      </c>
      <c r="AP7" s="179">
        <f t="shared" si="2"/>
        <v>3196.6369999999997</v>
      </c>
      <c r="AQ7" s="179">
        <f t="shared" ref="AQ7:AT7" si="3">AQ8-AQ6</f>
        <v>5082.0670000000009</v>
      </c>
      <c r="AR7" s="227">
        <f t="shared" si="3"/>
        <v>4990.1859999999997</v>
      </c>
      <c r="AS7" s="227">
        <f t="shared" si="3"/>
        <v>4227.0450000000001</v>
      </c>
      <c r="AT7" s="179">
        <f t="shared" si="3"/>
        <v>3632.741</v>
      </c>
      <c r="AU7" s="179">
        <f t="shared" ref="AU7" si="4">AU8-AU6</f>
        <v>6207.4840000000004</v>
      </c>
    </row>
    <row r="8" spans="1:50" ht="17.25" customHeight="1" x14ac:dyDescent="0.25">
      <c r="A8" s="183" t="s">
        <v>43</v>
      </c>
      <c r="B8" s="184"/>
      <c r="C8" s="184"/>
      <c r="D8" s="185">
        <f t="shared" ref="D8:R8" si="5">SUM(D6:D7)</f>
        <v>4377</v>
      </c>
      <c r="E8" s="185">
        <f t="shared" si="5"/>
        <v>5366</v>
      </c>
      <c r="F8" s="185">
        <f t="shared" si="5"/>
        <v>5445</v>
      </c>
      <c r="G8" s="185">
        <f t="shared" si="5"/>
        <v>5844</v>
      </c>
      <c r="H8" s="185">
        <f t="shared" si="5"/>
        <v>9193</v>
      </c>
      <c r="I8" s="185">
        <f t="shared" si="5"/>
        <v>8825</v>
      </c>
      <c r="J8" s="185">
        <f t="shared" si="5"/>
        <v>9818</v>
      </c>
      <c r="K8" s="185">
        <f t="shared" si="5"/>
        <v>13309</v>
      </c>
      <c r="L8" s="185">
        <f t="shared" si="5"/>
        <v>14332</v>
      </c>
      <c r="M8" s="185">
        <f t="shared" si="5"/>
        <v>12414</v>
      </c>
      <c r="N8" s="185">
        <f t="shared" si="5"/>
        <v>9771</v>
      </c>
      <c r="O8" s="185">
        <f t="shared" si="5"/>
        <v>10152</v>
      </c>
      <c r="P8" s="185">
        <f t="shared" si="5"/>
        <v>8668</v>
      </c>
      <c r="Q8" s="185">
        <f t="shared" si="5"/>
        <v>10756</v>
      </c>
      <c r="R8" s="185">
        <f t="shared" si="5"/>
        <v>7210</v>
      </c>
      <c r="S8" s="185">
        <f>SUM(S6:S7)</f>
        <v>6807</v>
      </c>
      <c r="T8" s="185">
        <v>7199</v>
      </c>
      <c r="U8" s="185">
        <v>6884</v>
      </c>
      <c r="V8" s="185">
        <v>5348</v>
      </c>
      <c r="W8" s="185">
        <v>7181</v>
      </c>
      <c r="X8" s="186">
        <f>+X6+X7</f>
        <v>8378</v>
      </c>
      <c r="Y8" s="186">
        <f t="shared" ref="Y8:AA8" si="6">+Y6+Y7</f>
        <v>6752</v>
      </c>
      <c r="Z8" s="186">
        <f t="shared" si="6"/>
        <v>8630</v>
      </c>
      <c r="AA8" s="186">
        <f t="shared" si="6"/>
        <v>7059</v>
      </c>
      <c r="AB8" s="186">
        <v>6673</v>
      </c>
      <c r="AC8" s="186">
        <v>6563</v>
      </c>
      <c r="AD8" s="186">
        <v>7045</v>
      </c>
      <c r="AE8" s="186">
        <v>7146</v>
      </c>
      <c r="AF8" s="186">
        <v>8987.7950000000001</v>
      </c>
      <c r="AG8" s="186">
        <v>7729.8220000000001</v>
      </c>
      <c r="AH8" s="186">
        <v>5325.0870000000004</v>
      </c>
      <c r="AI8" s="186">
        <v>7571.1229999999996</v>
      </c>
      <c r="AJ8" s="186">
        <v>5947</v>
      </c>
      <c r="AK8" s="186">
        <v>5847.5439999999999</v>
      </c>
      <c r="AL8" s="186">
        <v>6608.0060000000003</v>
      </c>
      <c r="AM8" s="186">
        <v>7733.1909999999998</v>
      </c>
      <c r="AN8" s="186">
        <v>6200.3680000000004</v>
      </c>
      <c r="AO8" s="186">
        <v>5917.9769999999999</v>
      </c>
      <c r="AP8" s="186">
        <v>8961.4429999999993</v>
      </c>
      <c r="AQ8" s="186">
        <v>10234.370000000001</v>
      </c>
      <c r="AR8" s="186">
        <v>6691.8090000000002</v>
      </c>
      <c r="AS8" s="186">
        <v>5767.6629999999996</v>
      </c>
      <c r="AT8" s="186">
        <v>5450.36</v>
      </c>
      <c r="AU8" s="186">
        <v>7173.5110000000004</v>
      </c>
    </row>
    <row r="9" spans="1:50" ht="17.25" customHeight="1" x14ac:dyDescent="0.25">
      <c r="A9" s="180"/>
      <c r="B9" s="178"/>
      <c r="C9" s="178"/>
      <c r="D9" s="179"/>
      <c r="E9" s="179"/>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row>
    <row r="10" spans="1:50" x14ac:dyDescent="0.25">
      <c r="A10" s="177" t="s">
        <v>13</v>
      </c>
      <c r="B10" s="187"/>
      <c r="C10" s="187"/>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228"/>
      <c r="AB10" s="228"/>
      <c r="AC10" s="228"/>
      <c r="AD10" s="228"/>
      <c r="AE10" s="228"/>
      <c r="AF10" s="228"/>
      <c r="AG10" s="228"/>
      <c r="AH10" s="228"/>
      <c r="AI10" s="228"/>
      <c r="AJ10" s="228"/>
      <c r="AK10" s="228"/>
      <c r="AL10" s="228"/>
      <c r="AM10" s="228"/>
      <c r="AN10" s="228"/>
      <c r="AO10" s="228"/>
      <c r="AP10" s="188"/>
      <c r="AQ10" s="188"/>
      <c r="AR10" s="228"/>
      <c r="AS10" s="228"/>
      <c r="AT10" s="188"/>
      <c r="AU10" s="188"/>
    </row>
    <row r="11" spans="1:50" x14ac:dyDescent="0.25">
      <c r="A11" s="180" t="s">
        <v>14</v>
      </c>
      <c r="B11" s="178"/>
      <c r="C11" s="178"/>
      <c r="D11" s="227">
        <v>30131</v>
      </c>
      <c r="E11" s="227">
        <v>30336</v>
      </c>
      <c r="F11" s="227">
        <v>30339</v>
      </c>
      <c r="G11" s="227">
        <v>30928</v>
      </c>
      <c r="H11" s="227">
        <v>34942</v>
      </c>
      <c r="I11" s="227">
        <v>34682</v>
      </c>
      <c r="J11" s="227">
        <v>33701</v>
      </c>
      <c r="K11" s="227">
        <v>35859</v>
      </c>
      <c r="L11" s="227">
        <v>34664</v>
      </c>
      <c r="M11" s="227">
        <v>34593</v>
      </c>
      <c r="N11" s="227">
        <v>33716</v>
      </c>
      <c r="O11" s="227">
        <v>33427</v>
      </c>
      <c r="P11" s="227">
        <v>32441</v>
      </c>
      <c r="Q11" s="227">
        <v>32983</v>
      </c>
      <c r="R11" s="227">
        <v>32387</v>
      </c>
      <c r="S11" s="227">
        <v>33183</v>
      </c>
      <c r="T11" s="227">
        <v>32527</v>
      </c>
      <c r="U11" s="227">
        <v>33512</v>
      </c>
      <c r="V11" s="227">
        <v>33591</v>
      </c>
      <c r="W11" s="227">
        <v>34934</v>
      </c>
      <c r="X11" s="227">
        <v>35155</v>
      </c>
      <c r="Y11" s="227">
        <v>36015</v>
      </c>
      <c r="Z11" s="227">
        <v>37710</v>
      </c>
      <c r="AA11" s="227">
        <v>36760</v>
      </c>
      <c r="AB11" s="227">
        <v>37013</v>
      </c>
      <c r="AC11" s="227">
        <v>38117</v>
      </c>
      <c r="AD11" s="227">
        <v>40273</v>
      </c>
      <c r="AE11" s="227">
        <v>42082</v>
      </c>
      <c r="AF11" s="227">
        <v>49535.646000000001</v>
      </c>
      <c r="AG11" s="227">
        <v>49005.478000000003</v>
      </c>
      <c r="AH11" s="227">
        <v>50158.326999999997</v>
      </c>
      <c r="AI11" s="227">
        <v>47162.25</v>
      </c>
      <c r="AJ11" s="227">
        <v>47096</v>
      </c>
      <c r="AK11" s="227">
        <v>48779.938000000002</v>
      </c>
      <c r="AL11" s="227">
        <v>49101.038999999997</v>
      </c>
      <c r="AM11" s="227">
        <v>51912.214</v>
      </c>
      <c r="AN11" s="227">
        <v>52609.343999999997</v>
      </c>
      <c r="AO11" s="227">
        <v>54013.182999999997</v>
      </c>
      <c r="AP11" s="179">
        <v>56182.75</v>
      </c>
      <c r="AQ11" s="179">
        <v>60446.786999999997</v>
      </c>
      <c r="AR11" s="227">
        <v>60095.773999999998</v>
      </c>
      <c r="AS11" s="227">
        <v>61101.264999999999</v>
      </c>
      <c r="AT11" s="179">
        <v>63414.313999999998</v>
      </c>
      <c r="AU11" s="179">
        <v>63890.453999999998</v>
      </c>
    </row>
    <row r="12" spans="1:50" x14ac:dyDescent="0.25">
      <c r="A12" s="180" t="s">
        <v>40</v>
      </c>
      <c r="B12" s="178"/>
      <c r="C12" s="178"/>
      <c r="D12" s="227">
        <v>867</v>
      </c>
      <c r="E12" s="227">
        <v>836</v>
      </c>
      <c r="F12" s="227">
        <v>806</v>
      </c>
      <c r="G12" s="227">
        <v>775</v>
      </c>
      <c r="H12" s="227">
        <v>6660</v>
      </c>
      <c r="I12" s="227">
        <v>6528</v>
      </c>
      <c r="J12" s="227">
        <v>6208</v>
      </c>
      <c r="K12" s="227">
        <v>6159</v>
      </c>
      <c r="L12" s="227">
        <v>6117</v>
      </c>
      <c r="M12" s="227">
        <v>6460</v>
      </c>
      <c r="N12" s="227">
        <v>6397</v>
      </c>
      <c r="O12" s="227">
        <v>6326</v>
      </c>
      <c r="P12" s="227">
        <v>6253</v>
      </c>
      <c r="Q12" s="227">
        <v>6205</v>
      </c>
      <c r="R12" s="227">
        <v>6157</v>
      </c>
      <c r="S12" s="227">
        <v>6108</v>
      </c>
      <c r="T12" s="227">
        <v>6060</v>
      </c>
      <c r="U12" s="227">
        <v>6011</v>
      </c>
      <c r="V12" s="227">
        <v>5963</v>
      </c>
      <c r="W12" s="227">
        <v>5915</v>
      </c>
      <c r="X12" s="227">
        <v>5878</v>
      </c>
      <c r="Y12" s="227">
        <v>5841</v>
      </c>
      <c r="Z12" s="227">
        <v>5804</v>
      </c>
      <c r="AA12" s="227">
        <v>5767</v>
      </c>
      <c r="AB12" s="227">
        <v>5759</v>
      </c>
      <c r="AC12" s="227">
        <v>5751</v>
      </c>
      <c r="AD12" s="227">
        <v>5742</v>
      </c>
      <c r="AE12" s="227">
        <v>5734</v>
      </c>
      <c r="AF12" s="227">
        <v>5741.3</v>
      </c>
      <c r="AG12" s="227">
        <v>5727.3879999999999</v>
      </c>
      <c r="AH12" s="227">
        <v>5718.67</v>
      </c>
      <c r="AI12" s="227">
        <v>5716.4260000000004</v>
      </c>
      <c r="AJ12" s="227">
        <v>5715</v>
      </c>
      <c r="AK12" s="227">
        <v>5713.4</v>
      </c>
      <c r="AL12" s="227">
        <v>5712.7529999999997</v>
      </c>
      <c r="AM12" s="227">
        <v>5712.558</v>
      </c>
      <c r="AN12" s="227">
        <v>5715.7849999999999</v>
      </c>
      <c r="AO12" s="227">
        <v>5987.7960000000003</v>
      </c>
      <c r="AP12" s="179">
        <v>5985.4139999999998</v>
      </c>
      <c r="AQ12" s="179">
        <v>5727.7219999999998</v>
      </c>
      <c r="AR12" s="227">
        <v>6112.2259999999997</v>
      </c>
      <c r="AS12" s="227">
        <v>6523.3490000000002</v>
      </c>
      <c r="AT12" s="179">
        <v>6400.2889999999998</v>
      </c>
      <c r="AU12" s="179">
        <v>6453.8860000000004</v>
      </c>
    </row>
    <row r="13" spans="1:50" x14ac:dyDescent="0.25">
      <c r="A13" s="180" t="s">
        <v>15</v>
      </c>
      <c r="B13" s="178"/>
      <c r="C13" s="178"/>
      <c r="D13" s="179"/>
      <c r="E13" s="179"/>
      <c r="F13" s="179"/>
      <c r="G13" s="179"/>
      <c r="H13" s="179">
        <v>7489</v>
      </c>
      <c r="I13" s="179">
        <v>6105</v>
      </c>
      <c r="J13" s="179">
        <v>6105</v>
      </c>
      <c r="K13" s="179">
        <v>6105</v>
      </c>
      <c r="L13" s="179">
        <v>6681</v>
      </c>
      <c r="M13" s="179">
        <v>6681</v>
      </c>
      <c r="N13" s="179">
        <v>6681</v>
      </c>
      <c r="O13" s="179">
        <v>6681</v>
      </c>
      <c r="P13" s="179">
        <v>6681</v>
      </c>
      <c r="Q13" s="179">
        <v>6681</v>
      </c>
      <c r="R13" s="179">
        <v>6681</v>
      </c>
      <c r="S13" s="179">
        <v>6681</v>
      </c>
      <c r="T13" s="179">
        <v>6681</v>
      </c>
      <c r="U13" s="179">
        <v>6681</v>
      </c>
      <c r="V13" s="179">
        <v>6681</v>
      </c>
      <c r="W13" s="179">
        <v>6681</v>
      </c>
      <c r="X13" s="179">
        <v>6681</v>
      </c>
      <c r="Y13" s="179">
        <v>6681</v>
      </c>
      <c r="Z13" s="179">
        <v>6681</v>
      </c>
      <c r="AA13" s="179">
        <v>6681</v>
      </c>
      <c r="AB13" s="179">
        <v>6681</v>
      </c>
      <c r="AC13" s="179">
        <v>6681</v>
      </c>
      <c r="AD13" s="179">
        <v>6681</v>
      </c>
      <c r="AE13" s="179">
        <v>6681</v>
      </c>
      <c r="AF13" s="179">
        <v>6681.357</v>
      </c>
      <c r="AG13" s="179">
        <v>6681.357</v>
      </c>
      <c r="AH13" s="179">
        <v>6681.357</v>
      </c>
      <c r="AI13" s="179">
        <v>6681.357</v>
      </c>
      <c r="AJ13" s="179">
        <v>6681</v>
      </c>
      <c r="AK13" s="179">
        <v>6681.357</v>
      </c>
      <c r="AL13" s="179">
        <v>6681.357</v>
      </c>
      <c r="AM13" s="179">
        <v>6681.357</v>
      </c>
      <c r="AN13" s="179">
        <v>6681.357</v>
      </c>
      <c r="AO13" s="179">
        <v>6915.5919999999996</v>
      </c>
      <c r="AP13" s="179">
        <v>6915.5919999999996</v>
      </c>
      <c r="AQ13" s="179">
        <v>6681.357</v>
      </c>
      <c r="AR13" s="179">
        <v>6681.357</v>
      </c>
      <c r="AS13" s="179">
        <v>6915.5919999999996</v>
      </c>
      <c r="AT13" s="179">
        <v>6915.5919999999996</v>
      </c>
      <c r="AU13" s="179">
        <v>6915.5919999999996</v>
      </c>
    </row>
    <row r="14" spans="1:50" x14ac:dyDescent="0.25">
      <c r="A14" s="180" t="s">
        <v>74</v>
      </c>
      <c r="B14" s="178"/>
      <c r="C14" s="178"/>
      <c r="D14" s="227">
        <v>1716</v>
      </c>
      <c r="E14" s="227">
        <v>1892</v>
      </c>
      <c r="F14" s="227">
        <v>2579</v>
      </c>
      <c r="G14" s="227">
        <v>2730</v>
      </c>
      <c r="H14" s="227">
        <v>2453</v>
      </c>
      <c r="I14" s="227">
        <v>2283</v>
      </c>
      <c r="J14" s="227">
        <v>2044</v>
      </c>
      <c r="K14" s="227">
        <v>2273</v>
      </c>
      <c r="L14" s="227">
        <v>2131</v>
      </c>
      <c r="M14" s="227">
        <v>2258</v>
      </c>
      <c r="N14" s="227">
        <v>2300</v>
      </c>
      <c r="O14" s="227">
        <v>2258</v>
      </c>
      <c r="P14" s="227">
        <v>1977</v>
      </c>
      <c r="Q14" s="227">
        <v>2149</v>
      </c>
      <c r="R14" s="227">
        <v>2109</v>
      </c>
      <c r="S14" s="227">
        <v>2117</v>
      </c>
      <c r="T14" s="227">
        <v>1908</v>
      </c>
      <c r="U14" s="227">
        <v>1663</v>
      </c>
      <c r="V14" s="227">
        <v>1609</v>
      </c>
      <c r="W14" s="227">
        <v>1611</v>
      </c>
      <c r="X14" s="227">
        <v>1119</v>
      </c>
      <c r="Y14" s="227">
        <v>1089</v>
      </c>
      <c r="Z14" s="227">
        <v>1079</v>
      </c>
      <c r="AA14" s="227">
        <v>1347</v>
      </c>
      <c r="AB14" s="227">
        <f t="shared" ref="AB14:AG14" si="7">AB15-AB13-AB12-AB11</f>
        <v>1236</v>
      </c>
      <c r="AC14" s="227">
        <f t="shared" si="7"/>
        <v>1267</v>
      </c>
      <c r="AD14" s="227">
        <f t="shared" si="7"/>
        <v>1225</v>
      </c>
      <c r="AE14" s="227">
        <f t="shared" si="7"/>
        <v>1083</v>
      </c>
      <c r="AF14" s="227">
        <f t="shared" si="7"/>
        <v>565.48599999999715</v>
      </c>
      <c r="AG14" s="227">
        <f t="shared" si="7"/>
        <v>510.86699999999109</v>
      </c>
      <c r="AH14" s="227">
        <f t="shared" ref="AH14:AI14" si="8">AH15-AH13-AH12-AH11</f>
        <v>512.27399999999761</v>
      </c>
      <c r="AI14" s="227">
        <f t="shared" si="8"/>
        <v>613.64099999999598</v>
      </c>
      <c r="AJ14" s="227">
        <f t="shared" ref="AJ14:AK14" si="9">AJ15-AJ13-AJ12-AJ11</f>
        <v>492</v>
      </c>
      <c r="AK14" s="227">
        <f t="shared" si="9"/>
        <v>467.96199999999953</v>
      </c>
      <c r="AL14" s="227">
        <f t="shared" ref="AL14:AM14" si="10">AL15-AL13-AL12-AL11</f>
        <v>481.86300000000483</v>
      </c>
      <c r="AM14" s="227">
        <f t="shared" si="10"/>
        <v>713.96199999999953</v>
      </c>
      <c r="AN14" s="179">
        <f t="shared" ref="AN14:AP14" si="11">AN15-AN13-AN12-AN11</f>
        <v>633.9829999999929</v>
      </c>
      <c r="AO14" s="179">
        <f t="shared" si="11"/>
        <v>3583.5109999999986</v>
      </c>
      <c r="AP14" s="179">
        <f t="shared" si="11"/>
        <v>3630.0630000000019</v>
      </c>
      <c r="AQ14" s="179">
        <f t="shared" ref="AQ14:AT14" si="12">AQ15-AQ13-AQ12-AQ11</f>
        <v>3832.291999999994</v>
      </c>
      <c r="AR14" s="179">
        <f t="shared" si="12"/>
        <v>3731.4839999999967</v>
      </c>
      <c r="AS14" s="179">
        <f t="shared" si="12"/>
        <v>3386.8379999999888</v>
      </c>
      <c r="AT14" s="179">
        <f t="shared" si="12"/>
        <v>3916.0819999999949</v>
      </c>
      <c r="AU14" s="179">
        <f t="shared" ref="AU14" si="13">AU15-AU13-AU12-AU11</f>
        <v>3254.6410000000033</v>
      </c>
    </row>
    <row r="15" spans="1:50" ht="17.25" customHeight="1" x14ac:dyDescent="0.25">
      <c r="A15" s="189" t="s">
        <v>41</v>
      </c>
      <c r="B15" s="190"/>
      <c r="C15" s="190"/>
      <c r="D15" s="186">
        <f t="shared" ref="D15:R15" si="14">SUM(D11:D14)</f>
        <v>32714</v>
      </c>
      <c r="E15" s="186">
        <f t="shared" si="14"/>
        <v>33064</v>
      </c>
      <c r="F15" s="186">
        <f t="shared" si="14"/>
        <v>33724</v>
      </c>
      <c r="G15" s="186">
        <f t="shared" si="14"/>
        <v>34433</v>
      </c>
      <c r="H15" s="186">
        <f t="shared" si="14"/>
        <v>51544</v>
      </c>
      <c r="I15" s="186">
        <f t="shared" si="14"/>
        <v>49598</v>
      </c>
      <c r="J15" s="186">
        <f t="shared" si="14"/>
        <v>48058</v>
      </c>
      <c r="K15" s="186">
        <f t="shared" si="14"/>
        <v>50396</v>
      </c>
      <c r="L15" s="186">
        <f t="shared" si="14"/>
        <v>49593</v>
      </c>
      <c r="M15" s="186">
        <f t="shared" si="14"/>
        <v>49992</v>
      </c>
      <c r="N15" s="186">
        <f t="shared" si="14"/>
        <v>49094</v>
      </c>
      <c r="O15" s="186">
        <f t="shared" si="14"/>
        <v>48692</v>
      </c>
      <c r="P15" s="186">
        <f t="shared" si="14"/>
        <v>47352</v>
      </c>
      <c r="Q15" s="186">
        <f t="shared" si="14"/>
        <v>48018</v>
      </c>
      <c r="R15" s="186">
        <f t="shared" si="14"/>
        <v>47334</v>
      </c>
      <c r="S15" s="186">
        <f>SUM(S11:S14)</f>
        <v>48089</v>
      </c>
      <c r="T15" s="186">
        <v>47177</v>
      </c>
      <c r="U15" s="186">
        <v>47867</v>
      </c>
      <c r="V15" s="186">
        <v>47845</v>
      </c>
      <c r="W15" s="186">
        <v>49141</v>
      </c>
      <c r="X15" s="186">
        <f>+X11+X12+X13+X14</f>
        <v>48833</v>
      </c>
      <c r="Y15" s="186">
        <f t="shared" ref="Y15:Z15" si="15">+Y11+Y12+Y13+Y14</f>
        <v>49626</v>
      </c>
      <c r="Z15" s="186">
        <f t="shared" si="15"/>
        <v>51274</v>
      </c>
      <c r="AA15" s="186">
        <f t="shared" ref="AA15" si="16">+AA11+AA12+AA13+AA14</f>
        <v>50555</v>
      </c>
      <c r="AB15" s="186">
        <v>50689</v>
      </c>
      <c r="AC15" s="186">
        <v>51816</v>
      </c>
      <c r="AD15" s="186">
        <v>53921</v>
      </c>
      <c r="AE15" s="186">
        <v>55580</v>
      </c>
      <c r="AF15" s="186">
        <v>62523.788999999997</v>
      </c>
      <c r="AG15" s="186">
        <v>61925.09</v>
      </c>
      <c r="AH15" s="186">
        <v>63070.627999999997</v>
      </c>
      <c r="AI15" s="186">
        <v>60173.673999999999</v>
      </c>
      <c r="AJ15" s="186">
        <v>59984</v>
      </c>
      <c r="AK15" s="186">
        <v>61642.656999999999</v>
      </c>
      <c r="AL15" s="186">
        <v>61977.012000000002</v>
      </c>
      <c r="AM15" s="186">
        <v>65020.091</v>
      </c>
      <c r="AN15" s="186">
        <v>65640.468999999997</v>
      </c>
      <c r="AO15" s="186">
        <v>70500.081999999995</v>
      </c>
      <c r="AP15" s="186">
        <v>72713.819000000003</v>
      </c>
      <c r="AQ15" s="186">
        <v>76688.157999999996</v>
      </c>
      <c r="AR15" s="186">
        <v>76620.841</v>
      </c>
      <c r="AS15" s="186">
        <v>77927.043999999994</v>
      </c>
      <c r="AT15" s="186">
        <v>80646.277000000002</v>
      </c>
      <c r="AU15" s="186">
        <v>80514.573000000004</v>
      </c>
    </row>
    <row r="16" spans="1:50" ht="17.25" customHeight="1" x14ac:dyDescent="0.25">
      <c r="A16" s="177"/>
      <c r="B16" s="178"/>
      <c r="C16" s="178"/>
      <c r="D16" s="227"/>
      <c r="E16" s="179"/>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179"/>
      <c r="AQ16" s="179"/>
      <c r="AR16" s="227"/>
      <c r="AS16" s="227"/>
      <c r="AT16" s="179"/>
      <c r="AU16" s="179"/>
    </row>
    <row r="17" spans="1:55" ht="17.25" customHeight="1" thickBot="1" x14ac:dyDescent="0.3">
      <c r="A17" s="191" t="s">
        <v>44</v>
      </c>
      <c r="B17" s="192"/>
      <c r="C17" s="192"/>
      <c r="D17" s="193">
        <f t="shared" ref="D17:R17" si="17">D8+D15</f>
        <v>37091</v>
      </c>
      <c r="E17" s="193">
        <f t="shared" si="17"/>
        <v>38430</v>
      </c>
      <c r="F17" s="193">
        <f t="shared" si="17"/>
        <v>39169</v>
      </c>
      <c r="G17" s="193">
        <f t="shared" si="17"/>
        <v>40277</v>
      </c>
      <c r="H17" s="193">
        <f t="shared" si="17"/>
        <v>60737</v>
      </c>
      <c r="I17" s="193">
        <f t="shared" si="17"/>
        <v>58423</v>
      </c>
      <c r="J17" s="193">
        <f t="shared" si="17"/>
        <v>57876</v>
      </c>
      <c r="K17" s="193">
        <f t="shared" si="17"/>
        <v>63705</v>
      </c>
      <c r="L17" s="193">
        <f t="shared" si="17"/>
        <v>63925</v>
      </c>
      <c r="M17" s="193">
        <f t="shared" si="17"/>
        <v>62406</v>
      </c>
      <c r="N17" s="193">
        <f t="shared" si="17"/>
        <v>58865</v>
      </c>
      <c r="O17" s="193">
        <f t="shared" si="17"/>
        <v>58844</v>
      </c>
      <c r="P17" s="193">
        <f t="shared" si="17"/>
        <v>56020</v>
      </c>
      <c r="Q17" s="193">
        <f t="shared" si="17"/>
        <v>58774</v>
      </c>
      <c r="R17" s="193">
        <f t="shared" si="17"/>
        <v>54544</v>
      </c>
      <c r="S17" s="193">
        <f>S8+S15</f>
        <v>54896</v>
      </c>
      <c r="T17" s="193">
        <f>T8+T15</f>
        <v>54376</v>
      </c>
      <c r="U17" s="193">
        <v>54751</v>
      </c>
      <c r="V17" s="193">
        <v>53193</v>
      </c>
      <c r="W17" s="193">
        <v>56321</v>
      </c>
      <c r="X17" s="229">
        <f>+X8+X15</f>
        <v>57211</v>
      </c>
      <c r="Y17" s="229">
        <f t="shared" ref="Y17:Z17" si="18">+Y8+Y15</f>
        <v>56378</v>
      </c>
      <c r="Z17" s="229">
        <f t="shared" si="18"/>
        <v>59904</v>
      </c>
      <c r="AA17" s="229">
        <f t="shared" ref="AA17" si="19">+AA8+AA15</f>
        <v>57614</v>
      </c>
      <c r="AB17" s="229">
        <f t="shared" ref="AB17:AC17" si="20">+AB8+AB15</f>
        <v>57362</v>
      </c>
      <c r="AC17" s="229">
        <f t="shared" si="20"/>
        <v>58379</v>
      </c>
      <c r="AD17" s="229">
        <f t="shared" ref="AD17:AE17" si="21">+AD8+AD15</f>
        <v>60966</v>
      </c>
      <c r="AE17" s="229">
        <f t="shared" si="21"/>
        <v>62726</v>
      </c>
      <c r="AF17" s="229">
        <f t="shared" ref="AF17:AG17" si="22">+AF8+AF15</f>
        <v>71511.584000000003</v>
      </c>
      <c r="AG17" s="229">
        <f t="shared" si="22"/>
        <v>69654.911999999997</v>
      </c>
      <c r="AH17" s="229">
        <f t="shared" ref="AH17:AI17" si="23">+AH8+AH15</f>
        <v>68395.714999999997</v>
      </c>
      <c r="AI17" s="229">
        <f t="shared" si="23"/>
        <v>67744.796999999991</v>
      </c>
      <c r="AJ17" s="229">
        <f t="shared" ref="AJ17:AK17" si="24">+AJ8+AJ15</f>
        <v>65931</v>
      </c>
      <c r="AK17" s="229">
        <f t="shared" si="24"/>
        <v>67490.201000000001</v>
      </c>
      <c r="AL17" s="229">
        <f t="shared" ref="AL17:AM17" si="25">+AL8+AL15</f>
        <v>68585.017999999996</v>
      </c>
      <c r="AM17" s="229">
        <f t="shared" si="25"/>
        <v>72753.282000000007</v>
      </c>
      <c r="AN17" s="229">
        <f t="shared" ref="AN17:AP17" si="26">+AN8+AN15</f>
        <v>71840.837</v>
      </c>
      <c r="AO17" s="229">
        <f t="shared" si="26"/>
        <v>76418.058999999994</v>
      </c>
      <c r="AP17" s="193">
        <f t="shared" si="26"/>
        <v>81675.262000000002</v>
      </c>
      <c r="AQ17" s="193">
        <f t="shared" ref="AQ17:AT17" si="27">+AQ8+AQ15</f>
        <v>86922.527999999991</v>
      </c>
      <c r="AR17" s="229">
        <f t="shared" si="27"/>
        <v>83312.649999999994</v>
      </c>
      <c r="AS17" s="229">
        <f t="shared" si="27"/>
        <v>83694.706999999995</v>
      </c>
      <c r="AT17" s="193">
        <f t="shared" si="27"/>
        <v>86096.637000000002</v>
      </c>
      <c r="AU17" s="193">
        <f t="shared" ref="AU17" si="28">+AU8+AU15</f>
        <v>87688.084000000003</v>
      </c>
    </row>
    <row r="18" spans="1:55" ht="17.25" customHeight="1" thickTop="1" x14ac:dyDescent="0.25">
      <c r="A18" s="177"/>
      <c r="B18" s="178"/>
      <c r="C18" s="178"/>
      <c r="D18" s="227"/>
      <c r="E18" s="227"/>
      <c r="F18" s="227"/>
      <c r="G18" s="227"/>
      <c r="H18" s="227"/>
      <c r="I18" s="227"/>
      <c r="J18" s="227"/>
      <c r="K18" s="227"/>
      <c r="L18" s="227"/>
      <c r="M18" s="227"/>
      <c r="N18" s="227"/>
      <c r="O18" s="227"/>
      <c r="P18" s="227"/>
      <c r="Q18" s="227"/>
      <c r="R18" s="227"/>
      <c r="S18" s="227"/>
      <c r="T18" s="227"/>
      <c r="U18" s="227"/>
      <c r="V18" s="227"/>
      <c r="W18" s="179"/>
      <c r="X18" s="227"/>
      <c r="Y18" s="227"/>
      <c r="Z18" s="227"/>
      <c r="AA18" s="227"/>
      <c r="AB18" s="227"/>
      <c r="AC18" s="227"/>
      <c r="AD18" s="227"/>
      <c r="AE18" s="227"/>
      <c r="AF18" s="227"/>
      <c r="AG18" s="227"/>
      <c r="AH18" s="227"/>
      <c r="AI18" s="179"/>
      <c r="AJ18" s="179"/>
      <c r="AK18" s="179"/>
      <c r="AL18" s="179"/>
      <c r="AM18" s="179"/>
      <c r="AN18" s="179"/>
      <c r="AO18" s="179"/>
      <c r="AP18" s="179"/>
      <c r="AQ18" s="179"/>
      <c r="AR18" s="179"/>
      <c r="AS18" s="179"/>
      <c r="AT18" s="179"/>
      <c r="AU18" s="179"/>
    </row>
    <row r="19" spans="1:55" ht="17.25" customHeight="1" x14ac:dyDescent="0.25">
      <c r="A19" s="177" t="s">
        <v>52</v>
      </c>
      <c r="B19" s="178"/>
      <c r="C19" s="178"/>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179"/>
      <c r="AN19" s="179"/>
      <c r="AO19" s="179"/>
      <c r="AP19" s="179"/>
      <c r="AQ19" s="179"/>
      <c r="AR19" s="179"/>
      <c r="AS19" s="179"/>
      <c r="AT19" s="179"/>
      <c r="AU19" s="179"/>
    </row>
    <row r="20" spans="1:55" ht="17.25" customHeight="1" x14ac:dyDescent="0.25">
      <c r="A20" s="180" t="s">
        <v>53</v>
      </c>
      <c r="B20" s="178"/>
      <c r="C20" s="178"/>
      <c r="D20" s="227">
        <v>4183</v>
      </c>
      <c r="E20" s="227">
        <v>4310</v>
      </c>
      <c r="F20" s="227">
        <v>3082</v>
      </c>
      <c r="G20" s="227">
        <v>3125</v>
      </c>
      <c r="H20" s="227">
        <v>3066</v>
      </c>
      <c r="I20" s="227">
        <v>3810</v>
      </c>
      <c r="J20" s="227">
        <v>4954</v>
      </c>
      <c r="K20" s="227">
        <v>3922</v>
      </c>
      <c r="L20" s="227">
        <v>4800</v>
      </c>
      <c r="M20" s="227">
        <v>4042</v>
      </c>
      <c r="N20" s="227">
        <v>3338</v>
      </c>
      <c r="O20" s="227">
        <v>3922</v>
      </c>
      <c r="P20" s="227">
        <v>2710</v>
      </c>
      <c r="Q20" s="227">
        <v>5560</v>
      </c>
      <c r="R20" s="227">
        <v>4138</v>
      </c>
      <c r="S20" s="227">
        <v>3645</v>
      </c>
      <c r="T20" s="227">
        <v>5071</v>
      </c>
      <c r="U20" s="179">
        <v>4601</v>
      </c>
      <c r="V20" s="179">
        <v>3361</v>
      </c>
      <c r="W20" s="179">
        <v>3771</v>
      </c>
      <c r="X20" s="227">
        <v>6550</v>
      </c>
      <c r="Y20" s="227">
        <v>5019</v>
      </c>
      <c r="Z20" s="227">
        <v>5329</v>
      </c>
      <c r="AA20" s="227">
        <v>1329</v>
      </c>
      <c r="AB20" s="227">
        <f>946+707+636</f>
        <v>2289</v>
      </c>
      <c r="AC20" s="179">
        <v>2392</v>
      </c>
      <c r="AD20" s="227">
        <v>5044</v>
      </c>
      <c r="AE20" s="227">
        <v>5462</v>
      </c>
      <c r="AF20" s="227">
        <f>4515.11+4076.756+724.733</f>
        <v>9316.5990000000002</v>
      </c>
      <c r="AG20" s="227">
        <f>3953.116+3227.847+322.845</f>
        <v>7503.808</v>
      </c>
      <c r="AH20" s="227">
        <f>4433.566+578.28+322.937</f>
        <v>5334.7829999999994</v>
      </c>
      <c r="AI20" s="227">
        <f>4666.545+727.795+398.417+449.31</f>
        <v>6242.0670000000009</v>
      </c>
      <c r="AJ20" s="227">
        <f>5504+728+508+640</f>
        <v>7380</v>
      </c>
      <c r="AK20" s="227">
        <f>4921.517+877.333+650.658+640.598</f>
        <v>7090.1059999999998</v>
      </c>
      <c r="AL20" s="227">
        <f>4703.428+877.385+650.889+640.876</f>
        <v>6872.5780000000004</v>
      </c>
      <c r="AM20" s="227">
        <f>4531.327+877.461+676.65+190.974</f>
        <v>6276.4120000000003</v>
      </c>
      <c r="AN20" s="227">
        <f>4944.463+2377.648+566.764</f>
        <v>7888.875</v>
      </c>
      <c r="AO20" s="227">
        <f>4897.21+3380.085+424.855</f>
        <v>8702.15</v>
      </c>
      <c r="AP20" s="179">
        <f>4964.082+5131.027+424.941</f>
        <v>10520.050000000001</v>
      </c>
      <c r="AQ20" s="179">
        <f>5293.686+5328.985+148.869</f>
        <v>10771.539999999999</v>
      </c>
      <c r="AR20" s="227">
        <f>6820.796+2779.494+286.827+170.892</f>
        <v>10058.009</v>
      </c>
      <c r="AS20" s="227">
        <v>9647.527</v>
      </c>
      <c r="AT20" s="179">
        <f>6061.783+1270.387+546.914+170.983</f>
        <v>8050.067</v>
      </c>
      <c r="AU20" s="179">
        <f>6022.836+415.892+397.965</f>
        <v>6836.6930000000002</v>
      </c>
      <c r="AW20" s="43" t="s">
        <v>385</v>
      </c>
      <c r="BA20" s="318">
        <v>6005106</v>
      </c>
      <c r="BC20" s="318">
        <v>26493858</v>
      </c>
    </row>
    <row r="21" spans="1:55" ht="17.25" customHeight="1" x14ac:dyDescent="0.25">
      <c r="A21" s="180" t="s">
        <v>86</v>
      </c>
      <c r="B21" s="181"/>
      <c r="C21" s="181"/>
      <c r="D21" s="226">
        <v>4527</v>
      </c>
      <c r="E21" s="182">
        <v>4121</v>
      </c>
      <c r="F21" s="182">
        <v>4169</v>
      </c>
      <c r="G21" s="182">
        <v>4806</v>
      </c>
      <c r="H21" s="182">
        <v>13543</v>
      </c>
      <c r="I21" s="182">
        <v>12167</v>
      </c>
      <c r="J21" s="182">
        <v>10885</v>
      </c>
      <c r="K21" s="182">
        <v>11477</v>
      </c>
      <c r="L21" s="226">
        <v>12188</v>
      </c>
      <c r="M21" s="182">
        <v>11908</v>
      </c>
      <c r="N21" s="182">
        <v>12257</v>
      </c>
      <c r="O21" s="182">
        <v>11826</v>
      </c>
      <c r="P21" s="226">
        <v>10558</v>
      </c>
      <c r="Q21" s="182">
        <v>11285</v>
      </c>
      <c r="R21" s="182">
        <v>9932</v>
      </c>
      <c r="S21" s="182">
        <v>10832</v>
      </c>
      <c r="T21" s="226">
        <v>10815</v>
      </c>
      <c r="U21" s="182">
        <v>11108</v>
      </c>
      <c r="V21" s="182">
        <v>10384</v>
      </c>
      <c r="W21" s="179">
        <v>11455</v>
      </c>
      <c r="X21" s="227">
        <v>12354</v>
      </c>
      <c r="Y21" s="227">
        <v>12468</v>
      </c>
      <c r="Z21" s="227">
        <v>13097</v>
      </c>
      <c r="AA21" s="227">
        <v>14404</v>
      </c>
      <c r="AB21" s="227">
        <f>AB22-AB20</f>
        <v>13122</v>
      </c>
      <c r="AC21" s="227">
        <f>AC22-AC20</f>
        <v>13589</v>
      </c>
      <c r="AD21" s="227">
        <f>AD22-AD20</f>
        <v>14489</v>
      </c>
      <c r="AE21" s="227">
        <v>15831</v>
      </c>
      <c r="AF21" s="227">
        <f t="shared" ref="AF21:AK21" si="29">AF22-AF20</f>
        <v>14462.915999999999</v>
      </c>
      <c r="AG21" s="227">
        <f t="shared" si="29"/>
        <v>13932.737999999998</v>
      </c>
      <c r="AH21" s="227">
        <f t="shared" si="29"/>
        <v>12789.284</v>
      </c>
      <c r="AI21" s="227">
        <f t="shared" si="29"/>
        <v>12614.959000000001</v>
      </c>
      <c r="AJ21" s="227">
        <f t="shared" si="29"/>
        <v>11910</v>
      </c>
      <c r="AK21" s="227">
        <f t="shared" si="29"/>
        <v>11721.007000000001</v>
      </c>
      <c r="AL21" s="227">
        <f t="shared" ref="AL21:AM21" si="30">AL22-AL20</f>
        <v>11936.017</v>
      </c>
      <c r="AM21" s="227">
        <f t="shared" si="30"/>
        <v>14677.508999999998</v>
      </c>
      <c r="AN21" s="227">
        <f t="shared" ref="AN21:AP21" si="31">AN22-AN20</f>
        <v>13537.812999999998</v>
      </c>
      <c r="AO21" s="227">
        <f t="shared" si="31"/>
        <v>13994.750000000002</v>
      </c>
      <c r="AP21" s="179">
        <f t="shared" si="31"/>
        <v>14543.398999999999</v>
      </c>
      <c r="AQ21" s="179">
        <f t="shared" ref="AQ21:AT21" si="32">AQ22-AQ20</f>
        <v>15488.377000000002</v>
      </c>
      <c r="AR21" s="179">
        <f t="shared" si="32"/>
        <v>14737.569000000001</v>
      </c>
      <c r="AS21" s="179">
        <f t="shared" si="32"/>
        <v>13317.566000000001</v>
      </c>
      <c r="AT21" s="179">
        <f t="shared" si="32"/>
        <v>13688.328000000001</v>
      </c>
      <c r="AU21" s="179">
        <f t="shared" ref="AU21" si="33">AU22-AU20</f>
        <v>13305.291000000001</v>
      </c>
      <c r="BA21" s="318">
        <v>2924654</v>
      </c>
      <c r="BC21" s="318">
        <v>2687968</v>
      </c>
    </row>
    <row r="22" spans="1:55" ht="17.25" customHeight="1" x14ac:dyDescent="0.25">
      <c r="A22" s="194" t="s">
        <v>54</v>
      </c>
      <c r="B22" s="184"/>
      <c r="C22" s="184"/>
      <c r="D22" s="231">
        <f t="shared" ref="D22:R22" si="34">SUM(D20:D21)</f>
        <v>8710</v>
      </c>
      <c r="E22" s="185">
        <f t="shared" si="34"/>
        <v>8431</v>
      </c>
      <c r="F22" s="185">
        <f t="shared" si="34"/>
        <v>7251</v>
      </c>
      <c r="G22" s="185">
        <f t="shared" si="34"/>
        <v>7931</v>
      </c>
      <c r="H22" s="231">
        <f t="shared" si="34"/>
        <v>16609</v>
      </c>
      <c r="I22" s="185">
        <f t="shared" si="34"/>
        <v>15977</v>
      </c>
      <c r="J22" s="185">
        <f t="shared" si="34"/>
        <v>15839</v>
      </c>
      <c r="K22" s="185">
        <f t="shared" si="34"/>
        <v>15399</v>
      </c>
      <c r="L22" s="231">
        <f t="shared" si="34"/>
        <v>16988</v>
      </c>
      <c r="M22" s="185">
        <f t="shared" si="34"/>
        <v>15950</v>
      </c>
      <c r="N22" s="185">
        <f t="shared" si="34"/>
        <v>15595</v>
      </c>
      <c r="O22" s="185">
        <f t="shared" si="34"/>
        <v>15748</v>
      </c>
      <c r="P22" s="231">
        <f t="shared" si="34"/>
        <v>13268</v>
      </c>
      <c r="Q22" s="185">
        <f t="shared" si="34"/>
        <v>16845</v>
      </c>
      <c r="R22" s="185">
        <f t="shared" si="34"/>
        <v>14070</v>
      </c>
      <c r="S22" s="185">
        <f>SUM(S20:S21)</f>
        <v>14477</v>
      </c>
      <c r="T22" s="231">
        <v>15886</v>
      </c>
      <c r="U22" s="185">
        <v>15709</v>
      </c>
      <c r="V22" s="185">
        <v>13745</v>
      </c>
      <c r="W22" s="186">
        <v>15227</v>
      </c>
      <c r="X22" s="230">
        <f t="shared" ref="X22:Y22" si="35">+X20+X21</f>
        <v>18904</v>
      </c>
      <c r="Y22" s="230">
        <f t="shared" si="35"/>
        <v>17487</v>
      </c>
      <c r="Z22" s="230">
        <f>+Z20+Z21</f>
        <v>18426</v>
      </c>
      <c r="AA22" s="230">
        <f>+AA20+AA21</f>
        <v>15733</v>
      </c>
      <c r="AB22" s="230">
        <v>15411</v>
      </c>
      <c r="AC22" s="230">
        <v>15981</v>
      </c>
      <c r="AD22" s="230">
        <v>19533</v>
      </c>
      <c r="AE22" s="230">
        <v>21293</v>
      </c>
      <c r="AF22" s="230">
        <v>23779.514999999999</v>
      </c>
      <c r="AG22" s="230">
        <v>21436.545999999998</v>
      </c>
      <c r="AH22" s="230">
        <v>18124.066999999999</v>
      </c>
      <c r="AI22" s="230">
        <v>18857.026000000002</v>
      </c>
      <c r="AJ22" s="230">
        <v>19290</v>
      </c>
      <c r="AK22" s="230">
        <v>18811.113000000001</v>
      </c>
      <c r="AL22" s="230">
        <f>18808.595</f>
        <v>18808.595000000001</v>
      </c>
      <c r="AM22" s="230">
        <v>20953.920999999998</v>
      </c>
      <c r="AN22" s="230">
        <v>21426.687999999998</v>
      </c>
      <c r="AO22" s="230">
        <v>22696.9</v>
      </c>
      <c r="AP22" s="186">
        <v>25063.449000000001</v>
      </c>
      <c r="AQ22" s="186">
        <v>26259.917000000001</v>
      </c>
      <c r="AR22" s="230">
        <v>24795.578000000001</v>
      </c>
      <c r="AS22" s="230">
        <v>22965.093000000001</v>
      </c>
      <c r="AT22" s="186">
        <v>21738.395</v>
      </c>
      <c r="AU22" s="186">
        <v>20141.984</v>
      </c>
      <c r="BA22" s="318">
        <v>546830</v>
      </c>
      <c r="BC22" s="318">
        <v>1963291</v>
      </c>
    </row>
    <row r="23" spans="1:55" ht="17.25" customHeight="1" x14ac:dyDescent="0.25">
      <c r="A23" s="177"/>
      <c r="B23" s="178"/>
      <c r="C23" s="178"/>
      <c r="D23" s="179"/>
      <c r="E23" s="179"/>
      <c r="F23" s="179"/>
      <c r="G23" s="179"/>
      <c r="H23" s="179"/>
      <c r="I23" s="179"/>
      <c r="J23" s="179"/>
      <c r="K23" s="179"/>
      <c r="L23" s="179"/>
      <c r="M23" s="179"/>
      <c r="N23" s="179"/>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79"/>
      <c r="AN23" s="179"/>
      <c r="AO23" s="179"/>
      <c r="AP23" s="179"/>
      <c r="AQ23" s="179"/>
      <c r="AR23" s="179"/>
      <c r="AS23" s="179"/>
      <c r="AT23" s="179"/>
      <c r="AU23" s="179"/>
      <c r="BA23" s="318">
        <v>170937</v>
      </c>
      <c r="BC23" s="318">
        <v>1676101</v>
      </c>
    </row>
    <row r="24" spans="1:55" ht="17.25" customHeight="1" x14ac:dyDescent="0.25">
      <c r="A24" s="177" t="s">
        <v>49</v>
      </c>
      <c r="B24" s="178"/>
      <c r="C24" s="178"/>
      <c r="D24" s="179"/>
      <c r="E24" s="179"/>
      <c r="F24" s="179"/>
      <c r="G24" s="179"/>
      <c r="H24" s="179"/>
      <c r="I24" s="179"/>
      <c r="J24" s="179"/>
      <c r="K24" s="179"/>
      <c r="L24" s="227"/>
      <c r="M24" s="227"/>
      <c r="N24" s="227"/>
      <c r="O24" s="227"/>
      <c r="P24" s="227"/>
      <c r="Q24" s="227"/>
      <c r="R24" s="227"/>
      <c r="S24" s="227"/>
      <c r="T24" s="227"/>
      <c r="U24" s="227"/>
      <c r="V24" s="227"/>
      <c r="W24" s="227"/>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BA24" s="318">
        <f>SUM(BA20:BA23)</f>
        <v>9647527</v>
      </c>
      <c r="BC24" s="318">
        <f>SUM(BC20:BC23)</f>
        <v>32821218</v>
      </c>
    </row>
    <row r="25" spans="1:55" ht="17.25" customHeight="1" x14ac:dyDescent="0.25">
      <c r="A25" s="180" t="s">
        <v>50</v>
      </c>
      <c r="B25" s="178"/>
      <c r="C25" s="178"/>
      <c r="D25" s="179">
        <v>10477</v>
      </c>
      <c r="E25" s="179">
        <v>12773</v>
      </c>
      <c r="F25" s="179">
        <v>14459</v>
      </c>
      <c r="G25" s="179">
        <v>14697</v>
      </c>
      <c r="H25" s="179">
        <v>19650</v>
      </c>
      <c r="I25" s="179">
        <v>20490</v>
      </c>
      <c r="J25" s="179">
        <v>19353</v>
      </c>
      <c r="K25" s="179">
        <v>19487</v>
      </c>
      <c r="L25" s="179">
        <v>18926</v>
      </c>
      <c r="M25" s="179">
        <v>18491</v>
      </c>
      <c r="N25" s="179">
        <v>16382</v>
      </c>
      <c r="O25" s="179">
        <v>16134</v>
      </c>
      <c r="P25" s="179">
        <v>15881</v>
      </c>
      <c r="Q25" s="179">
        <v>12329</v>
      </c>
      <c r="R25" s="179">
        <v>11019</v>
      </c>
      <c r="S25" s="179">
        <v>11026</v>
      </c>
      <c r="T25" s="179">
        <v>9489</v>
      </c>
      <c r="U25" s="179">
        <v>9963</v>
      </c>
      <c r="V25" s="179">
        <v>10019</v>
      </c>
      <c r="W25" s="179">
        <v>10980</v>
      </c>
      <c r="X25" s="179">
        <v>8276</v>
      </c>
      <c r="Y25" s="179">
        <v>8278</v>
      </c>
      <c r="Z25" s="179">
        <v>9627</v>
      </c>
      <c r="AA25" s="179">
        <v>11235</v>
      </c>
      <c r="AB25" s="179">
        <f>7744+2811+991</f>
        <v>11546</v>
      </c>
      <c r="AC25" s="179">
        <v>11147</v>
      </c>
      <c r="AD25" s="179">
        <v>8349</v>
      </c>
      <c r="AE25" s="179">
        <v>7348</v>
      </c>
      <c r="AF25" s="179">
        <f>3966.908+17291.956</f>
        <v>21258.863999999998</v>
      </c>
      <c r="AG25" s="179">
        <f>4416.743+17425.322+2089.708+993.143</f>
        <v>24924.916000000001</v>
      </c>
      <c r="AH25" s="179">
        <f>4267.174+19117.443+2090.146+993.49</f>
        <v>26468.253000000001</v>
      </c>
      <c r="AI25" s="179">
        <f>5535.939+19613.02+1692.167+544.526</f>
        <v>27385.652000000006</v>
      </c>
      <c r="AJ25" s="179">
        <f>17694+5236+1583+354</f>
        <v>24867</v>
      </c>
      <c r="AK25" s="179">
        <f>18570.327+6535.288+1440.801+353.932</f>
        <v>26900.348000000002</v>
      </c>
      <c r="AL25" s="179">
        <f>19554.433+6385.935+1441.008+354</f>
        <v>27735.376000000004</v>
      </c>
      <c r="AM25" s="179">
        <f>7156.544+20845.08+1016.533+354.069</f>
        <v>29372.226000000002</v>
      </c>
      <c r="AN25" s="179">
        <f>20670.92+5856.996+1016.654+354.138</f>
        <v>27898.707999999995</v>
      </c>
      <c r="AO25" s="179">
        <f>21733.87+8058.624+1016.775+354.207</f>
        <v>31163.475999999999</v>
      </c>
      <c r="AP25" s="179">
        <f>23233.114+6160.324+2510.854+1847.729</f>
        <v>33752.021000000001</v>
      </c>
      <c r="AQ25" s="179">
        <f>26552.254+2368.846+2360.826+1715.691</f>
        <v>32997.617000000006</v>
      </c>
      <c r="AR25" s="179">
        <f>25153.748+1619.243+2222.643+1675.499</f>
        <v>30671.132999999998</v>
      </c>
      <c r="AS25" s="179">
        <v>32821.218000000001</v>
      </c>
      <c r="AT25" s="179">
        <f>28418.117+4032.881+1963.856+1676.703</f>
        <v>36091.557000000001</v>
      </c>
      <c r="AU25" s="179">
        <f>29790.61+5609.008+1677.304</f>
        <v>37076.922000000006</v>
      </c>
      <c r="AW25" s="43" t="s">
        <v>384</v>
      </c>
    </row>
    <row r="26" spans="1:55" ht="17.25" customHeight="1" x14ac:dyDescent="0.25">
      <c r="A26" s="180" t="s">
        <v>87</v>
      </c>
      <c r="B26" s="178"/>
      <c r="C26" s="178"/>
      <c r="D26" s="179"/>
      <c r="E26" s="179"/>
      <c r="F26" s="179"/>
      <c r="G26" s="179"/>
      <c r="H26" s="179">
        <v>5679</v>
      </c>
      <c r="I26" s="179">
        <v>5985</v>
      </c>
      <c r="J26" s="179">
        <v>6106</v>
      </c>
      <c r="K26" s="179">
        <v>6220</v>
      </c>
      <c r="L26" s="179">
        <v>6542</v>
      </c>
      <c r="M26" s="179">
        <v>6666</v>
      </c>
      <c r="N26" s="179">
        <v>7329</v>
      </c>
      <c r="O26" s="179">
        <v>6898</v>
      </c>
      <c r="P26" s="179">
        <v>6638</v>
      </c>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row>
    <row r="27" spans="1:55" ht="17.25" customHeight="1" x14ac:dyDescent="0.25">
      <c r="A27" s="180" t="s">
        <v>19</v>
      </c>
      <c r="B27" s="178"/>
      <c r="C27" s="178"/>
      <c r="D27" s="179">
        <v>2278</v>
      </c>
      <c r="E27" s="179">
        <v>2289</v>
      </c>
      <c r="F27" s="179">
        <v>2255</v>
      </c>
      <c r="G27" s="179">
        <v>2349</v>
      </c>
      <c r="H27" s="179">
        <v>4329</v>
      </c>
      <c r="I27" s="179">
        <v>2918</v>
      </c>
      <c r="J27" s="179">
        <v>2615</v>
      </c>
      <c r="K27" s="179">
        <v>8641</v>
      </c>
      <c r="L27" s="179">
        <v>8186</v>
      </c>
      <c r="M27" s="179">
        <v>8058</v>
      </c>
      <c r="N27" s="179">
        <v>5939</v>
      </c>
      <c r="O27" s="179">
        <v>5973</v>
      </c>
      <c r="P27" s="179">
        <v>5964</v>
      </c>
      <c r="Q27" s="179">
        <v>8583</v>
      </c>
      <c r="R27" s="179">
        <v>8511</v>
      </c>
      <c r="S27" s="179">
        <v>8184</v>
      </c>
      <c r="T27" s="179">
        <v>7745</v>
      </c>
      <c r="U27" s="179">
        <v>7707</v>
      </c>
      <c r="V27" s="179">
        <v>7932</v>
      </c>
      <c r="W27" s="179">
        <v>8484</v>
      </c>
      <c r="X27" s="179">
        <v>8392</v>
      </c>
      <c r="Y27" s="179">
        <v>9067</v>
      </c>
      <c r="Z27" s="179">
        <v>10367</v>
      </c>
      <c r="AA27" s="179">
        <v>12303</v>
      </c>
      <c r="AB27" s="179">
        <f t="shared" ref="AB27:AG27" si="36">AB28-AB25</f>
        <v>11995</v>
      </c>
      <c r="AC27" s="179">
        <f t="shared" si="36"/>
        <v>12589</v>
      </c>
      <c r="AD27" s="179">
        <f t="shared" si="36"/>
        <v>14185</v>
      </c>
      <c r="AE27" s="179">
        <f t="shared" si="36"/>
        <v>14963</v>
      </c>
      <c r="AF27" s="179">
        <f t="shared" si="36"/>
        <v>5825.1630000000005</v>
      </c>
      <c r="AG27" s="179">
        <f t="shared" si="36"/>
        <v>2774.34</v>
      </c>
      <c r="AH27" s="179">
        <f t="shared" ref="AH27:AI27" si="37">AH28-AH25</f>
        <v>2932.7069999999985</v>
      </c>
      <c r="AI27" s="179">
        <f t="shared" si="37"/>
        <v>2364.7529999999933</v>
      </c>
      <c r="AJ27" s="179">
        <f t="shared" ref="AJ27:AK27" si="38">AJ28-AJ25</f>
        <v>2305</v>
      </c>
      <c r="AK27" s="179">
        <f t="shared" si="38"/>
        <v>2251.2749999999978</v>
      </c>
      <c r="AL27" s="179">
        <f t="shared" ref="AL27:AM27" si="39">AL28-AL25</f>
        <v>2219.3369999999959</v>
      </c>
      <c r="AM27" s="179">
        <f t="shared" si="39"/>
        <v>2338.3899999999994</v>
      </c>
      <c r="AN27" s="179">
        <f t="shared" ref="AN27:AP27" si="40">AN28-AN25</f>
        <v>2276.8070000000043</v>
      </c>
      <c r="AO27" s="179">
        <f t="shared" si="40"/>
        <v>2221.6480000000047</v>
      </c>
      <c r="AP27" s="179">
        <f t="shared" si="40"/>
        <v>2148.5899999999965</v>
      </c>
      <c r="AQ27" s="179">
        <f t="shared" ref="AQ27:AT27" si="41">AQ28-AQ25</f>
        <v>2014.281999999992</v>
      </c>
      <c r="AR27" s="179">
        <f t="shared" si="41"/>
        <v>1994.0730000000003</v>
      </c>
      <c r="AS27" s="179">
        <f t="shared" si="41"/>
        <v>2032.6229999999996</v>
      </c>
      <c r="AT27" s="179">
        <f t="shared" si="41"/>
        <v>2017.387999999999</v>
      </c>
      <c r="AU27" s="179">
        <f t="shared" ref="AU27" si="42">AU28-AU25</f>
        <v>3964.4019999999946</v>
      </c>
    </row>
    <row r="28" spans="1:55" ht="17.25" customHeight="1" x14ac:dyDescent="0.25">
      <c r="A28" s="189" t="s">
        <v>51</v>
      </c>
      <c r="B28" s="190"/>
      <c r="C28" s="190"/>
      <c r="D28" s="186">
        <f t="shared" ref="D28:R28" si="43">SUM(D25:D27)</f>
        <v>12755</v>
      </c>
      <c r="E28" s="186">
        <f t="shared" si="43"/>
        <v>15062</v>
      </c>
      <c r="F28" s="186">
        <f t="shared" si="43"/>
        <v>16714</v>
      </c>
      <c r="G28" s="186">
        <f t="shared" si="43"/>
        <v>17046</v>
      </c>
      <c r="H28" s="186">
        <f t="shared" si="43"/>
        <v>29658</v>
      </c>
      <c r="I28" s="186">
        <f t="shared" si="43"/>
        <v>29393</v>
      </c>
      <c r="J28" s="186">
        <f t="shared" si="43"/>
        <v>28074</v>
      </c>
      <c r="K28" s="186">
        <f t="shared" si="43"/>
        <v>34348</v>
      </c>
      <c r="L28" s="186">
        <f t="shared" si="43"/>
        <v>33654</v>
      </c>
      <c r="M28" s="186">
        <f t="shared" si="43"/>
        <v>33215</v>
      </c>
      <c r="N28" s="186">
        <f t="shared" si="43"/>
        <v>29650</v>
      </c>
      <c r="O28" s="186">
        <f t="shared" si="43"/>
        <v>29005</v>
      </c>
      <c r="P28" s="186">
        <f t="shared" si="43"/>
        <v>28483</v>
      </c>
      <c r="Q28" s="186">
        <f t="shared" si="43"/>
        <v>20912</v>
      </c>
      <c r="R28" s="186">
        <f t="shared" si="43"/>
        <v>19530</v>
      </c>
      <c r="S28" s="186">
        <f>SUM(S25:S27)</f>
        <v>19210</v>
      </c>
      <c r="T28" s="186">
        <v>17233</v>
      </c>
      <c r="U28" s="186">
        <v>17670</v>
      </c>
      <c r="V28" s="186">
        <v>17951</v>
      </c>
      <c r="W28" s="186">
        <v>19464</v>
      </c>
      <c r="X28" s="186">
        <f t="shared" ref="X28:Y28" si="44">+X25+X27</f>
        <v>16668</v>
      </c>
      <c r="Y28" s="186">
        <f t="shared" si="44"/>
        <v>17345</v>
      </c>
      <c r="Z28" s="186">
        <f>+Z25+Z27</f>
        <v>19994</v>
      </c>
      <c r="AA28" s="186">
        <f>+AA25+AA27</f>
        <v>23538</v>
      </c>
      <c r="AB28" s="186">
        <v>23541</v>
      </c>
      <c r="AC28" s="186">
        <v>23736</v>
      </c>
      <c r="AD28" s="186">
        <v>22534</v>
      </c>
      <c r="AE28" s="186">
        <v>22311</v>
      </c>
      <c r="AF28" s="186">
        <v>27084.026999999998</v>
      </c>
      <c r="AG28" s="186">
        <v>27699.256000000001</v>
      </c>
      <c r="AH28" s="186">
        <v>29400.959999999999</v>
      </c>
      <c r="AI28" s="186">
        <f>29750.405</f>
        <v>29750.404999999999</v>
      </c>
      <c r="AJ28" s="186">
        <v>27172</v>
      </c>
      <c r="AK28" s="186">
        <v>29151.623</v>
      </c>
      <c r="AL28" s="186">
        <v>29954.713</v>
      </c>
      <c r="AM28" s="186">
        <v>31710.616000000002</v>
      </c>
      <c r="AN28" s="186">
        <v>30175.514999999999</v>
      </c>
      <c r="AO28" s="186">
        <v>33385.124000000003</v>
      </c>
      <c r="AP28" s="186">
        <v>35900.610999999997</v>
      </c>
      <c r="AQ28" s="186">
        <f>35011.899</f>
        <v>35011.898999999998</v>
      </c>
      <c r="AR28" s="186">
        <v>32665.205999999998</v>
      </c>
      <c r="AS28" s="186">
        <v>34853.841</v>
      </c>
      <c r="AT28" s="186">
        <v>38108.945</v>
      </c>
      <c r="AU28" s="186">
        <v>41041.324000000001</v>
      </c>
    </row>
    <row r="29" spans="1:55" ht="17.25" customHeight="1" x14ac:dyDescent="0.25">
      <c r="A29" s="177"/>
      <c r="B29" s="184"/>
      <c r="C29" s="184"/>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row>
    <row r="30" spans="1:55" ht="17.25" customHeight="1" x14ac:dyDescent="0.25">
      <c r="A30" s="177" t="s">
        <v>18</v>
      </c>
      <c r="B30" s="178"/>
      <c r="C30" s="178"/>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row>
    <row r="31" spans="1:55" ht="17.25" customHeight="1" x14ac:dyDescent="0.25">
      <c r="A31" s="177" t="s">
        <v>45</v>
      </c>
      <c r="B31" s="178"/>
      <c r="C31" s="178"/>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row>
    <row r="32" spans="1:55" ht="17.25" customHeight="1" x14ac:dyDescent="0.25">
      <c r="A32" s="180" t="s">
        <v>46</v>
      </c>
      <c r="B32" s="178"/>
      <c r="C32" s="178"/>
      <c r="D32" s="179">
        <v>6313</v>
      </c>
      <c r="E32" s="179">
        <v>6338</v>
      </c>
      <c r="F32" s="179">
        <v>6341</v>
      </c>
      <c r="G32" s="179">
        <v>6333</v>
      </c>
      <c r="H32" s="179">
        <v>6334</v>
      </c>
      <c r="I32" s="179">
        <v>6337</v>
      </c>
      <c r="J32" s="179">
        <v>6450</v>
      </c>
      <c r="K32" s="179">
        <v>6451</v>
      </c>
      <c r="L32" s="179">
        <v>6453</v>
      </c>
      <c r="M32" s="179">
        <v>6480</v>
      </c>
      <c r="N32" s="179">
        <v>6483</v>
      </c>
      <c r="O32" s="179">
        <v>6487</v>
      </c>
      <c r="P32" s="179">
        <v>6496</v>
      </c>
      <c r="Q32" s="179">
        <v>13197</v>
      </c>
      <c r="R32" s="179">
        <v>13201</v>
      </c>
      <c r="S32" s="179">
        <v>13208</v>
      </c>
      <c r="T32" s="179">
        <v>13213</v>
      </c>
      <c r="U32" s="179">
        <v>13219</v>
      </c>
      <c r="V32" s="179">
        <v>13229</v>
      </c>
      <c r="W32" s="179">
        <v>13226</v>
      </c>
      <c r="X32" s="179">
        <v>13219</v>
      </c>
      <c r="Y32" s="179">
        <v>13228</v>
      </c>
      <c r="Z32" s="179">
        <v>13211</v>
      </c>
      <c r="AA32" s="179">
        <v>13218</v>
      </c>
      <c r="AB32" s="179">
        <f>12156+1069</f>
        <v>13225</v>
      </c>
      <c r="AC32" s="179">
        <v>13255</v>
      </c>
      <c r="AD32" s="179">
        <v>13273</v>
      </c>
      <c r="AE32" s="179">
        <v>13271</v>
      </c>
      <c r="AF32" s="179">
        <f>1070.601+12197.503</f>
        <v>13268.104000000001</v>
      </c>
      <c r="AG32" s="179">
        <f>1070.601+12200.413</f>
        <v>13271.014000000001</v>
      </c>
      <c r="AH32" s="179">
        <f>1070.601+12229.834</f>
        <v>13300.435000000001</v>
      </c>
      <c r="AI32" s="179">
        <f>1070+601+12232.12</f>
        <v>13903.12</v>
      </c>
      <c r="AJ32" s="179">
        <f>1072+12216-134+1+6314</f>
        <v>19469</v>
      </c>
      <c r="AK32" s="179">
        <f>1072.467+12216.315</f>
        <v>13288.782000000001</v>
      </c>
      <c r="AL32" s="179">
        <f>1072.467+12216.315</f>
        <v>13288.782000000001</v>
      </c>
      <c r="AM32" s="179">
        <f>1072.467+601+12216.315</f>
        <v>13889.782000000001</v>
      </c>
      <c r="AN32" s="179">
        <f>1072.467+12216.315</f>
        <v>13288.782000000001</v>
      </c>
      <c r="AO32" s="179">
        <f>1072.467+12216.315</f>
        <v>13288.782000000001</v>
      </c>
      <c r="AP32" s="179">
        <f>1072.467+12216.315</f>
        <v>13288.782000000001</v>
      </c>
      <c r="AQ32" s="179">
        <f>1312.843+16914.496</f>
        <v>18227.339</v>
      </c>
      <c r="AR32" s="179">
        <f>1312.843+16914.496</f>
        <v>18227.339</v>
      </c>
      <c r="AS32" s="179">
        <v>18227.339</v>
      </c>
      <c r="AT32" s="179">
        <v>18227.339</v>
      </c>
      <c r="AU32" s="179">
        <f>1312.843+16914.496</f>
        <v>18227.339</v>
      </c>
      <c r="AW32" s="43" t="s">
        <v>428</v>
      </c>
      <c r="BA32" s="318">
        <v>1312843</v>
      </c>
    </row>
    <row r="33" spans="1:53" ht="17.25" customHeight="1" x14ac:dyDescent="0.25">
      <c r="A33" s="180" t="s">
        <v>47</v>
      </c>
      <c r="B33" s="178"/>
      <c r="C33" s="178"/>
      <c r="D33" s="179">
        <v>9313</v>
      </c>
      <c r="E33" s="179">
        <v>8600</v>
      </c>
      <c r="F33" s="179">
        <v>8863</v>
      </c>
      <c r="G33" s="179">
        <v>8967</v>
      </c>
      <c r="H33" s="179">
        <f>9346-1209</f>
        <v>8137</v>
      </c>
      <c r="I33" s="179">
        <f>7925-1209</f>
        <v>6716</v>
      </c>
      <c r="J33" s="179">
        <v>7514</v>
      </c>
      <c r="K33" s="179">
        <v>7510</v>
      </c>
      <c r="L33" s="179">
        <v>6830</v>
      </c>
      <c r="M33" s="179">
        <v>6761</v>
      </c>
      <c r="N33" s="179">
        <v>7137</v>
      </c>
      <c r="O33" s="179">
        <v>7605</v>
      </c>
      <c r="P33" s="179">
        <v>7774</v>
      </c>
      <c r="Q33" s="179">
        <v>7821</v>
      </c>
      <c r="R33" s="179">
        <v>7743</v>
      </c>
      <c r="S33" s="179">
        <v>8002</v>
      </c>
      <c r="T33" s="179">
        <v>8043</v>
      </c>
      <c r="U33" s="179">
        <v>8154</v>
      </c>
      <c r="V33" s="179">
        <v>8268</v>
      </c>
      <c r="W33" s="179">
        <v>8405</v>
      </c>
      <c r="X33" s="179">
        <v>8420</v>
      </c>
      <c r="Y33" s="179">
        <v>8318</v>
      </c>
      <c r="Z33" s="179">
        <v>8273</v>
      </c>
      <c r="AA33" s="179">
        <v>5125</v>
      </c>
      <c r="AB33" s="179">
        <f t="shared" ref="AB33:AG33" si="45">AB34-AB32</f>
        <v>5186</v>
      </c>
      <c r="AC33" s="179">
        <f t="shared" si="45"/>
        <v>5406</v>
      </c>
      <c r="AD33" s="179">
        <f t="shared" si="45"/>
        <v>5626</v>
      </c>
      <c r="AE33" s="179">
        <f t="shared" si="45"/>
        <v>5851</v>
      </c>
      <c r="AF33" s="179">
        <f t="shared" si="45"/>
        <v>7379.9380000000001</v>
      </c>
      <c r="AG33" s="179">
        <f t="shared" si="45"/>
        <v>7248.0959999999995</v>
      </c>
      <c r="AH33" s="179">
        <f t="shared" ref="AH33:AI33" si="46">AH34-AH32</f>
        <v>7570.262999999999</v>
      </c>
      <c r="AI33" s="179">
        <f t="shared" si="46"/>
        <v>5234.246000000001</v>
      </c>
      <c r="AJ33" s="179">
        <f t="shared" ref="AJ33:AK33" si="47">AJ34-AJ32</f>
        <v>0</v>
      </c>
      <c r="AK33" s="179">
        <f t="shared" si="47"/>
        <v>6238.6829999999991</v>
      </c>
      <c r="AL33" s="179">
        <f t="shared" ref="AL33:AM33" si="48">AL34-AL32</f>
        <v>6532.9279999999981</v>
      </c>
      <c r="AM33" s="179">
        <f t="shared" si="48"/>
        <v>6198.9629999999979</v>
      </c>
      <c r="AN33" s="179">
        <f t="shared" ref="AN33:AP33" si="49">AN34-AN32</f>
        <v>6949.8519999999971</v>
      </c>
      <c r="AO33" s="179">
        <f t="shared" si="49"/>
        <v>7047.2529999999988</v>
      </c>
      <c r="AP33" s="179">
        <f t="shared" si="49"/>
        <v>7422.42</v>
      </c>
      <c r="AQ33" s="179">
        <f t="shared" ref="AQ33:AT33" si="50">AQ34-AQ32</f>
        <v>7423.3729999999996</v>
      </c>
      <c r="AR33" s="179">
        <f t="shared" si="50"/>
        <v>7624.5270000000019</v>
      </c>
      <c r="AS33" s="179">
        <f t="shared" si="50"/>
        <v>7648.4340000000011</v>
      </c>
      <c r="AT33" s="179">
        <f t="shared" si="50"/>
        <v>8021.9579999999987</v>
      </c>
      <c r="AU33" s="179">
        <f t="shared" ref="AU33" si="51">AU34-AU32</f>
        <v>8277.4370000000017</v>
      </c>
      <c r="BA33" s="318">
        <v>16914496</v>
      </c>
    </row>
    <row r="34" spans="1:53" ht="17.25" customHeight="1" x14ac:dyDescent="0.25">
      <c r="A34" s="189" t="s">
        <v>48</v>
      </c>
      <c r="B34" s="190"/>
      <c r="C34" s="190"/>
      <c r="D34" s="186">
        <f t="shared" ref="D34:R34" si="52">SUM(D32:D33)</f>
        <v>15626</v>
      </c>
      <c r="E34" s="186">
        <f t="shared" si="52"/>
        <v>14938</v>
      </c>
      <c r="F34" s="186">
        <f t="shared" si="52"/>
        <v>15204</v>
      </c>
      <c r="G34" s="186">
        <f t="shared" si="52"/>
        <v>15300</v>
      </c>
      <c r="H34" s="186">
        <f t="shared" si="52"/>
        <v>14471</v>
      </c>
      <c r="I34" s="186">
        <f t="shared" si="52"/>
        <v>13053</v>
      </c>
      <c r="J34" s="186">
        <f t="shared" si="52"/>
        <v>13964</v>
      </c>
      <c r="K34" s="186">
        <f t="shared" si="52"/>
        <v>13961</v>
      </c>
      <c r="L34" s="186">
        <f t="shared" si="52"/>
        <v>13283</v>
      </c>
      <c r="M34" s="186">
        <f t="shared" si="52"/>
        <v>13241</v>
      </c>
      <c r="N34" s="186">
        <f t="shared" si="52"/>
        <v>13620</v>
      </c>
      <c r="O34" s="186">
        <f t="shared" si="52"/>
        <v>14092</v>
      </c>
      <c r="P34" s="186">
        <f t="shared" si="52"/>
        <v>14270</v>
      </c>
      <c r="Q34" s="186">
        <f t="shared" si="52"/>
        <v>21018</v>
      </c>
      <c r="R34" s="186">
        <f t="shared" si="52"/>
        <v>20944</v>
      </c>
      <c r="S34" s="186">
        <f>SUM(S32:S33)</f>
        <v>21210</v>
      </c>
      <c r="T34" s="186">
        <v>21256</v>
      </c>
      <c r="U34" s="186">
        <v>21373</v>
      </c>
      <c r="V34" s="186">
        <v>21497</v>
      </c>
      <c r="W34" s="186">
        <v>21631</v>
      </c>
      <c r="X34" s="186">
        <f t="shared" ref="X34:Y34" si="53">+X32+X33</f>
        <v>21639</v>
      </c>
      <c r="Y34" s="186">
        <f t="shared" si="53"/>
        <v>21546</v>
      </c>
      <c r="Z34" s="186">
        <f>+Z32+Z33</f>
        <v>21484</v>
      </c>
      <c r="AA34" s="186">
        <f>+AA32+AA33</f>
        <v>18343</v>
      </c>
      <c r="AB34" s="186">
        <v>18411</v>
      </c>
      <c r="AC34" s="186">
        <v>18661</v>
      </c>
      <c r="AD34" s="186">
        <v>18899</v>
      </c>
      <c r="AE34" s="186">
        <v>19122</v>
      </c>
      <c r="AF34" s="186">
        <v>20648.042000000001</v>
      </c>
      <c r="AG34" s="186">
        <v>20519.11</v>
      </c>
      <c r="AH34" s="186">
        <v>20870.698</v>
      </c>
      <c r="AI34" s="186">
        <v>19137.366000000002</v>
      </c>
      <c r="AJ34" s="186">
        <v>19469</v>
      </c>
      <c r="AK34" s="186">
        <v>19527.465</v>
      </c>
      <c r="AL34" s="186">
        <v>19821.71</v>
      </c>
      <c r="AM34" s="186">
        <v>20088.744999999999</v>
      </c>
      <c r="AN34" s="186">
        <v>20238.633999999998</v>
      </c>
      <c r="AO34" s="186">
        <v>20336.035</v>
      </c>
      <c r="AP34" s="186">
        <v>20711.202000000001</v>
      </c>
      <c r="AQ34" s="186">
        <v>25650.712</v>
      </c>
      <c r="AR34" s="186">
        <v>25851.866000000002</v>
      </c>
      <c r="AS34" s="186">
        <v>25875.773000000001</v>
      </c>
      <c r="AT34" s="186">
        <v>26249.296999999999</v>
      </c>
      <c r="AU34" s="186">
        <v>26504.776000000002</v>
      </c>
      <c r="BA34" s="318">
        <f>SUM(BA32:BA33)</f>
        <v>18227339</v>
      </c>
    </row>
    <row r="35" spans="1:53" ht="17.25" customHeight="1" x14ac:dyDescent="0.25">
      <c r="A35" s="177"/>
      <c r="B35" s="178"/>
      <c r="C35" s="178"/>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row>
    <row r="36" spans="1:53" ht="13.8" thickBot="1" x14ac:dyDescent="0.3">
      <c r="A36" s="191" t="s">
        <v>55</v>
      </c>
      <c r="B36" s="192"/>
      <c r="C36" s="192"/>
      <c r="D36" s="193">
        <f t="shared" ref="D36:R36" si="54">D22+D28+D34</f>
        <v>37091</v>
      </c>
      <c r="E36" s="193">
        <f t="shared" si="54"/>
        <v>38431</v>
      </c>
      <c r="F36" s="193">
        <f t="shared" si="54"/>
        <v>39169</v>
      </c>
      <c r="G36" s="193">
        <f t="shared" si="54"/>
        <v>40277</v>
      </c>
      <c r="H36" s="193">
        <f t="shared" si="54"/>
        <v>60738</v>
      </c>
      <c r="I36" s="193">
        <f t="shared" si="54"/>
        <v>58423</v>
      </c>
      <c r="J36" s="193">
        <f t="shared" si="54"/>
        <v>57877</v>
      </c>
      <c r="K36" s="193">
        <f t="shared" si="54"/>
        <v>63708</v>
      </c>
      <c r="L36" s="193">
        <f t="shared" si="54"/>
        <v>63925</v>
      </c>
      <c r="M36" s="193">
        <f t="shared" si="54"/>
        <v>62406</v>
      </c>
      <c r="N36" s="193">
        <f t="shared" si="54"/>
        <v>58865</v>
      </c>
      <c r="O36" s="193">
        <f t="shared" si="54"/>
        <v>58845</v>
      </c>
      <c r="P36" s="193">
        <f t="shared" si="54"/>
        <v>56021</v>
      </c>
      <c r="Q36" s="193">
        <f t="shared" si="54"/>
        <v>58775</v>
      </c>
      <c r="R36" s="193">
        <f t="shared" si="54"/>
        <v>54544</v>
      </c>
      <c r="S36" s="193">
        <f>S22+S28+S34</f>
        <v>54897</v>
      </c>
      <c r="T36" s="193">
        <v>54376</v>
      </c>
      <c r="U36" s="193">
        <v>54751</v>
      </c>
      <c r="V36" s="193">
        <v>53193</v>
      </c>
      <c r="W36" s="193">
        <v>56321</v>
      </c>
      <c r="X36" s="193">
        <f t="shared" ref="X36:Y36" si="55">+X22+X28+X34</f>
        <v>57211</v>
      </c>
      <c r="Y36" s="193">
        <f t="shared" si="55"/>
        <v>56378</v>
      </c>
      <c r="Z36" s="193">
        <f t="shared" ref="Z36:AE36" si="56">+Z22+Z28+Z34</f>
        <v>59904</v>
      </c>
      <c r="AA36" s="193">
        <f t="shared" si="56"/>
        <v>57614</v>
      </c>
      <c r="AB36" s="193">
        <f t="shared" si="56"/>
        <v>57363</v>
      </c>
      <c r="AC36" s="193">
        <f t="shared" si="56"/>
        <v>58378</v>
      </c>
      <c r="AD36" s="193">
        <f t="shared" si="56"/>
        <v>60966</v>
      </c>
      <c r="AE36" s="193">
        <f t="shared" si="56"/>
        <v>62726</v>
      </c>
      <c r="AF36" s="193">
        <f t="shared" ref="AF36:AG36" si="57">+AF22+AF28+AF34</f>
        <v>71511.584000000003</v>
      </c>
      <c r="AG36" s="193">
        <f t="shared" si="57"/>
        <v>69654.911999999997</v>
      </c>
      <c r="AH36" s="193">
        <f t="shared" ref="AH36:AI36" si="58">+AH22+AH28+AH34</f>
        <v>68395.725000000006</v>
      </c>
      <c r="AI36" s="193">
        <f t="shared" si="58"/>
        <v>67744.796999999991</v>
      </c>
      <c r="AJ36" s="193">
        <f t="shared" ref="AJ36:AK36" si="59">+AJ22+AJ28+AJ34</f>
        <v>65931</v>
      </c>
      <c r="AK36" s="193">
        <f t="shared" si="59"/>
        <v>67490.201000000001</v>
      </c>
      <c r="AL36" s="193">
        <f t="shared" ref="AL36:AM36" si="60">+AL22+AL28+AL34</f>
        <v>68585.018000000011</v>
      </c>
      <c r="AM36" s="193">
        <f t="shared" si="60"/>
        <v>72753.281999999992</v>
      </c>
      <c r="AN36" s="193">
        <f t="shared" ref="AN36:AP36" si="61">+AN22+AN28+AN34</f>
        <v>71840.837</v>
      </c>
      <c r="AO36" s="193">
        <f t="shared" si="61"/>
        <v>76418.059000000008</v>
      </c>
      <c r="AP36" s="193">
        <f t="shared" si="61"/>
        <v>81675.262000000002</v>
      </c>
      <c r="AQ36" s="193">
        <f t="shared" ref="AQ36:AT36" si="62">+AQ22+AQ28+AQ34</f>
        <v>86922.527999999991</v>
      </c>
      <c r="AR36" s="193">
        <f t="shared" si="62"/>
        <v>83312.649999999994</v>
      </c>
      <c r="AS36" s="193">
        <f t="shared" si="62"/>
        <v>83694.706999999995</v>
      </c>
      <c r="AT36" s="193">
        <f t="shared" si="62"/>
        <v>86096.636999999988</v>
      </c>
      <c r="AU36" s="193">
        <f t="shared" ref="AU36" si="63">+AU22+AU28+AU34</f>
        <v>87688.084000000003</v>
      </c>
    </row>
    <row r="37" spans="1:53" ht="17.25" customHeight="1" thickTop="1" x14ac:dyDescent="0.25">
      <c r="A37" s="175"/>
      <c r="B37" s="178"/>
      <c r="C37" s="178"/>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row>
    <row r="38" spans="1:53" ht="17.25" customHeight="1" x14ac:dyDescent="0.25">
      <c r="A38" s="177" t="s">
        <v>407</v>
      </c>
      <c r="B38" s="184"/>
      <c r="C38" s="184"/>
      <c r="D38" s="185"/>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5"/>
      <c r="AL38" s="185"/>
      <c r="AM38" s="185"/>
      <c r="AN38" s="185"/>
      <c r="AO38" s="185"/>
      <c r="AP38" s="185"/>
      <c r="AQ38" s="185"/>
      <c r="AR38" s="231">
        <v>13071.942865000001</v>
      </c>
      <c r="AS38" s="231">
        <v>13071.942865000001</v>
      </c>
      <c r="AT38" s="231">
        <v>13071.942865000001</v>
      </c>
      <c r="AU38" s="231">
        <v>13071.942865000001</v>
      </c>
    </row>
    <row r="39" spans="1:53" ht="17.25" customHeight="1" x14ac:dyDescent="0.25">
      <c r="A39" s="177"/>
      <c r="B39" s="184"/>
      <c r="C39" s="184"/>
      <c r="D39" s="185"/>
      <c r="E39" s="185"/>
      <c r="F39" s="185"/>
      <c r="G39" s="185"/>
      <c r="H39" s="185"/>
      <c r="I39" s="185"/>
      <c r="J39" s="185"/>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row>
    <row r="40" spans="1:53" s="36" customFormat="1" x14ac:dyDescent="0.25">
      <c r="A40" s="33" t="s">
        <v>89</v>
      </c>
      <c r="B40" s="33"/>
      <c r="C40" s="33"/>
      <c r="D40" s="34" t="str">
        <f t="shared" ref="D40:R40" si="64">D1</f>
        <v>1Q13</v>
      </c>
      <c r="E40" s="249" t="str">
        <f t="shared" si="64"/>
        <v>2Q13</v>
      </c>
      <c r="F40" s="249" t="str">
        <f t="shared" si="64"/>
        <v>3Q13</v>
      </c>
      <c r="G40" s="249" t="str">
        <f t="shared" si="64"/>
        <v>4Q13</v>
      </c>
      <c r="H40" s="249" t="str">
        <f t="shared" si="64"/>
        <v>1Q14</v>
      </c>
      <c r="I40" s="249" t="str">
        <f t="shared" si="64"/>
        <v>2Q14</v>
      </c>
      <c r="J40" s="249" t="str">
        <f t="shared" si="64"/>
        <v>3Q14</v>
      </c>
      <c r="K40" s="249" t="str">
        <f t="shared" si="64"/>
        <v>4Q14</v>
      </c>
      <c r="L40" s="249" t="str">
        <f t="shared" si="64"/>
        <v>1Q15</v>
      </c>
      <c r="M40" s="249" t="str">
        <f t="shared" si="64"/>
        <v>2Q15</v>
      </c>
      <c r="N40" s="249" t="str">
        <f t="shared" si="64"/>
        <v>3Q15</v>
      </c>
      <c r="O40" s="249" t="str">
        <f t="shared" si="64"/>
        <v>4Q15</v>
      </c>
      <c r="P40" s="249" t="str">
        <f t="shared" si="64"/>
        <v>1Q16</v>
      </c>
      <c r="Q40" s="249" t="str">
        <f t="shared" si="64"/>
        <v>2Q16</v>
      </c>
      <c r="R40" s="249" t="str">
        <f t="shared" si="64"/>
        <v>3Q16</v>
      </c>
      <c r="S40" s="249" t="str">
        <f>S1</f>
        <v>4Q16</v>
      </c>
      <c r="T40" s="249" t="s">
        <v>149</v>
      </c>
      <c r="U40" s="249" t="s">
        <v>159</v>
      </c>
      <c r="V40" s="249" t="str">
        <f t="shared" ref="V40:AA40" si="65">V1</f>
        <v>3Q17</v>
      </c>
      <c r="W40" s="249" t="str">
        <f t="shared" si="65"/>
        <v>4Q17</v>
      </c>
      <c r="X40" s="249" t="str">
        <f t="shared" si="65"/>
        <v>1Q18</v>
      </c>
      <c r="Y40" s="249" t="str">
        <f t="shared" si="65"/>
        <v>2Q18</v>
      </c>
      <c r="Z40" s="249" t="str">
        <f t="shared" si="65"/>
        <v>3Q18</v>
      </c>
      <c r="AA40" s="249" t="str">
        <f t="shared" si="65"/>
        <v>4Q18</v>
      </c>
      <c r="AB40" s="249" t="str">
        <f t="shared" ref="AB40:AC40" si="66">AB1</f>
        <v>1Q19</v>
      </c>
      <c r="AC40" s="249" t="str">
        <f t="shared" si="66"/>
        <v>2Q19</v>
      </c>
      <c r="AD40" s="249" t="str">
        <f t="shared" ref="AD40:AE40" si="67">AD1</f>
        <v>3Q19</v>
      </c>
      <c r="AE40" s="249" t="str">
        <f t="shared" si="67"/>
        <v>4Q19</v>
      </c>
      <c r="AF40" s="249" t="str">
        <f t="shared" ref="AF40:AG40" si="68">AF1</f>
        <v>1Q20</v>
      </c>
      <c r="AG40" s="249" t="str">
        <f t="shared" si="68"/>
        <v>2Q20</v>
      </c>
      <c r="AH40" s="249" t="str">
        <f t="shared" ref="AH40:AI40" si="69">AH1</f>
        <v>3Q20</v>
      </c>
      <c r="AI40" s="249" t="str">
        <f t="shared" si="69"/>
        <v>4Q20</v>
      </c>
      <c r="AJ40" s="249" t="str">
        <f t="shared" ref="AJ40:AK40" si="70">AJ1</f>
        <v>1Q21</v>
      </c>
      <c r="AK40" s="249" t="str">
        <f t="shared" si="70"/>
        <v>2Q21</v>
      </c>
      <c r="AL40" s="249" t="str">
        <f t="shared" ref="AL40:AM40" si="71">AL1</f>
        <v>3Q21</v>
      </c>
      <c r="AM40" s="249" t="str">
        <f t="shared" si="71"/>
        <v>4Q21</v>
      </c>
      <c r="AN40" s="249" t="str">
        <f t="shared" ref="AN40:AP40" si="72">AN1</f>
        <v>1Q22</v>
      </c>
      <c r="AO40" s="249" t="str">
        <f t="shared" si="72"/>
        <v>2Q22</v>
      </c>
      <c r="AP40" s="249" t="str">
        <f t="shared" si="72"/>
        <v>3Q22</v>
      </c>
      <c r="AQ40" s="249" t="str">
        <f t="shared" ref="AQ40:AT40" si="73">AQ1</f>
        <v>4Q22</v>
      </c>
      <c r="AR40" s="249" t="str">
        <f t="shared" si="73"/>
        <v>1Q23</v>
      </c>
      <c r="AS40" s="249" t="str">
        <f t="shared" si="73"/>
        <v>2Q23</v>
      </c>
      <c r="AT40" s="249" t="str">
        <f t="shared" si="73"/>
        <v>3Q23</v>
      </c>
      <c r="AU40" s="249" t="str">
        <f t="shared" ref="AU40" si="74">AU1</f>
        <v>4Q23</v>
      </c>
      <c r="AV40" s="33"/>
      <c r="AW40" s="33" t="str">
        <f>AW1</f>
        <v>Comments</v>
      </c>
      <c r="AX40" s="33" t="str">
        <f>AX1</f>
        <v>Source</v>
      </c>
    </row>
    <row r="41" spans="1:53" s="36" customFormat="1" x14ac:dyDescent="0.25">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row>
    <row r="42" spans="1:53" ht="17.25" customHeight="1" x14ac:dyDescent="0.25">
      <c r="A42" s="175" t="s">
        <v>90</v>
      </c>
      <c r="B42" s="178"/>
      <c r="C42" s="178"/>
      <c r="D42" s="179">
        <v>1268</v>
      </c>
      <c r="E42" s="179">
        <f>3645-D42</f>
        <v>2377</v>
      </c>
      <c r="F42" s="179">
        <f>6153-E42-D42</f>
        <v>2508</v>
      </c>
      <c r="G42" s="179">
        <f>7167-F42-E42-D42</f>
        <v>1014</v>
      </c>
      <c r="H42" s="179">
        <v>1642</v>
      </c>
      <c r="I42" s="179">
        <f>4963-H42</f>
        <v>3321</v>
      </c>
      <c r="J42" s="179">
        <f>6566-I42-H42</f>
        <v>1603</v>
      </c>
      <c r="K42" s="179">
        <f>8540-J42-I42-H42</f>
        <v>1974</v>
      </c>
      <c r="L42" s="179">
        <v>1514</v>
      </c>
      <c r="M42" s="179">
        <f>3532-L42</f>
        <v>2018</v>
      </c>
      <c r="N42" s="179">
        <f>6766-M42-L42</f>
        <v>3234</v>
      </c>
      <c r="O42" s="179">
        <f>7506-N42-M42-L42</f>
        <v>740</v>
      </c>
      <c r="P42" s="179">
        <v>1943</v>
      </c>
      <c r="Q42" s="179">
        <f>4469-P42</f>
        <v>2526</v>
      </c>
      <c r="R42" s="179">
        <f>7167-Q42-P42</f>
        <v>2698</v>
      </c>
      <c r="S42" s="179">
        <f>7312-R42-Q42-P42</f>
        <v>145</v>
      </c>
      <c r="T42" s="179">
        <f>2434</f>
        <v>2434</v>
      </c>
      <c r="U42" s="179">
        <f>5366-T42</f>
        <v>2932</v>
      </c>
      <c r="V42" s="179">
        <f>7924-U42-T42</f>
        <v>2558</v>
      </c>
      <c r="W42" s="179">
        <f>9612-V42-U42-T42</f>
        <v>1688</v>
      </c>
      <c r="X42" s="179">
        <v>2344</v>
      </c>
      <c r="Y42" s="179">
        <f>4253-X42</f>
        <v>1909</v>
      </c>
      <c r="Z42" s="179">
        <f>5036-Y42-X42</f>
        <v>783</v>
      </c>
      <c r="AA42" s="179">
        <f>9358-X42-Y42-Z42</f>
        <v>4322</v>
      </c>
      <c r="AB42" s="179">
        <v>3074</v>
      </c>
      <c r="AC42" s="179">
        <f>6903-AB42</f>
        <v>3829</v>
      </c>
      <c r="AD42" s="179">
        <f>8928-AB42-AC42</f>
        <v>2025</v>
      </c>
      <c r="AE42" s="179">
        <f>12357-AB42-AC42-AD42</f>
        <v>3429</v>
      </c>
      <c r="AF42" s="179">
        <v>4759.0339999999997</v>
      </c>
      <c r="AG42" s="179">
        <f>9185.999-AF42</f>
        <v>4426.9650000000001</v>
      </c>
      <c r="AH42" s="179">
        <f>12900.242-AF42-AG42</f>
        <v>3714.2430000000004</v>
      </c>
      <c r="AI42" s="179">
        <f>13949.485-AF42-AG42-AH42</f>
        <v>1049.2430000000004</v>
      </c>
      <c r="AJ42" s="179">
        <v>2640</v>
      </c>
      <c r="AK42" s="179">
        <f>6204.254-AJ42</f>
        <v>3564.2539999999999</v>
      </c>
      <c r="AL42" s="179">
        <f>10331.358-AJ42-AK42</f>
        <v>4127.1040000000003</v>
      </c>
      <c r="AM42" s="179">
        <f>11963.257-AJ42-AK42-AL42</f>
        <v>1631.8989999999994</v>
      </c>
      <c r="AN42" s="179">
        <v>3668.9780000000001</v>
      </c>
      <c r="AO42" s="179">
        <f>7970.73-AN42</f>
        <v>4301.7519999999995</v>
      </c>
      <c r="AP42" s="179">
        <f>11863.935-AN42-AO42</f>
        <v>3893.204999999999</v>
      </c>
      <c r="AQ42" s="179">
        <f>14104.495-AP42-AO42-AN42</f>
        <v>2240.5600000000013</v>
      </c>
      <c r="AR42" s="179">
        <v>4255.22</v>
      </c>
      <c r="AS42" s="179">
        <f>8762.408-AR42</f>
        <v>4507.1879999999992</v>
      </c>
      <c r="AT42" s="179">
        <f>13708.843-AR42-AS42</f>
        <v>4946.4350000000004</v>
      </c>
      <c r="AU42" s="179">
        <f>16095.538-AT42-AS42-AR42</f>
        <v>2386.6949999999997</v>
      </c>
      <c r="AX42" s="195"/>
    </row>
    <row r="43" spans="1:53" ht="17.25" customHeight="1" x14ac:dyDescent="0.25">
      <c r="A43" s="175" t="s">
        <v>91</v>
      </c>
      <c r="B43" s="178"/>
      <c r="C43" s="178"/>
      <c r="D43" s="179">
        <v>-2466</v>
      </c>
      <c r="E43" s="179">
        <f>-4477-D43</f>
        <v>-2011</v>
      </c>
      <c r="F43" s="179">
        <f>-6438-E43-D43</f>
        <v>-1961</v>
      </c>
      <c r="G43" s="179">
        <f>-7981-F43-E43-D43</f>
        <v>-1543</v>
      </c>
      <c r="H43" s="179">
        <v>-11325</v>
      </c>
      <c r="I43" s="179">
        <f>-13568-H43</f>
        <v>-2243</v>
      </c>
      <c r="J43" s="179">
        <f>-15193-H43-I43</f>
        <v>-1625</v>
      </c>
      <c r="K43" s="179">
        <f>-16678-J43-I43-H43</f>
        <v>-1485</v>
      </c>
      <c r="L43" s="179">
        <v>-913</v>
      </c>
      <c r="M43" s="179">
        <f>-2509-L43</f>
        <v>-1596</v>
      </c>
      <c r="N43" s="179">
        <f>-3311-M43-L43</f>
        <v>-802</v>
      </c>
      <c r="O43" s="179">
        <f>-4605-N43-M43-L43</f>
        <v>-1294</v>
      </c>
      <c r="P43" s="179">
        <v>-1255</v>
      </c>
      <c r="Q43" s="179">
        <f>-273-P43</f>
        <v>982</v>
      </c>
      <c r="R43" s="179">
        <f>-2730-Q43-P43</f>
        <v>-2457</v>
      </c>
      <c r="S43" s="179">
        <f>-3849-R43-Q43-P43</f>
        <v>-1119</v>
      </c>
      <c r="T43" s="179">
        <v>-1239</v>
      </c>
      <c r="U43" s="179">
        <f>-3576-T43</f>
        <v>-2337</v>
      </c>
      <c r="V43" s="179">
        <f>-5216-U43-T43</f>
        <v>-1640</v>
      </c>
      <c r="W43" s="179">
        <f>-6635-V43-U43-T43</f>
        <v>-1419</v>
      </c>
      <c r="X43" s="179">
        <v>-915</v>
      </c>
      <c r="Y43" s="179">
        <f>-1973-X43</f>
        <v>-1058</v>
      </c>
      <c r="Z43" s="179">
        <f>-3656-Y43-X43</f>
        <v>-1683</v>
      </c>
      <c r="AA43" s="179">
        <f>-6203-X43-Y43-Z43</f>
        <v>-2547</v>
      </c>
      <c r="AB43" s="179">
        <v>-2464</v>
      </c>
      <c r="AC43" s="179">
        <f>-4573-AB43</f>
        <v>-2109</v>
      </c>
      <c r="AD43" s="179">
        <f>-6423-AB43-AC43</f>
        <v>-1850</v>
      </c>
      <c r="AE43" s="179">
        <f>-8692-AB43-AC43-AD43</f>
        <v>-2269</v>
      </c>
      <c r="AF43" s="179">
        <f>-915.476</f>
        <v>-915.476</v>
      </c>
      <c r="AG43" s="179">
        <f>-2393.122-AF43</f>
        <v>-1477.6459999999997</v>
      </c>
      <c r="AH43" s="179">
        <f>-3900.849-AF43-AG43</f>
        <v>-1507.7270000000003</v>
      </c>
      <c r="AI43" s="179">
        <f>-5497.947-AF43-AG43-AH43</f>
        <v>-1597.0980000000004</v>
      </c>
      <c r="AJ43" s="179">
        <v>-1690</v>
      </c>
      <c r="AK43" s="179">
        <f>-3804.124-AJ43</f>
        <v>-2114.1239999999998</v>
      </c>
      <c r="AL43" s="179">
        <f>-5374.983-AJ43-AK43</f>
        <v>-1570.8590000000004</v>
      </c>
      <c r="AM43" s="179">
        <f>-6930.963-AJ43-AK43-AL43</f>
        <v>-1555.9799999999996</v>
      </c>
      <c r="AN43" s="179">
        <v>-2467.058</v>
      </c>
      <c r="AO43" s="179">
        <f>-7350.795-AN43</f>
        <v>-4883.7370000000001</v>
      </c>
      <c r="AP43" s="179">
        <f>-9286.513-AN43-AO43</f>
        <v>-1935.7180000000008</v>
      </c>
      <c r="AQ43" s="179">
        <f>-11495.464-AP43-AO43-AN43</f>
        <v>-2208.9509999999991</v>
      </c>
      <c r="AR43" s="179">
        <v>-2318.7489999999998</v>
      </c>
      <c r="AS43" s="179">
        <f>-5159.543-AR43</f>
        <v>-2840.7939999999999</v>
      </c>
      <c r="AT43" s="179">
        <f>-8013.502-AR43-AS43</f>
        <v>-2853.9590000000007</v>
      </c>
      <c r="AU43" s="179">
        <f>-10376.6-AT43-AS43-AR43</f>
        <v>-2363.098</v>
      </c>
      <c r="AX43" s="195"/>
    </row>
    <row r="44" spans="1:53" ht="17.25" customHeight="1" x14ac:dyDescent="0.25">
      <c r="A44" s="189" t="s">
        <v>92</v>
      </c>
      <c r="B44" s="190"/>
      <c r="C44" s="190"/>
      <c r="D44" s="186">
        <f t="shared" ref="D44:W44" si="75">D42+D43</f>
        <v>-1198</v>
      </c>
      <c r="E44" s="186">
        <f t="shared" si="75"/>
        <v>366</v>
      </c>
      <c r="F44" s="186">
        <f t="shared" si="75"/>
        <v>547</v>
      </c>
      <c r="G44" s="186">
        <f t="shared" si="75"/>
        <v>-529</v>
      </c>
      <c r="H44" s="186">
        <f t="shared" si="75"/>
        <v>-9683</v>
      </c>
      <c r="I44" s="186">
        <f t="shared" si="75"/>
        <v>1078</v>
      </c>
      <c r="J44" s="186">
        <f t="shared" si="75"/>
        <v>-22</v>
      </c>
      <c r="K44" s="186">
        <f t="shared" si="75"/>
        <v>489</v>
      </c>
      <c r="L44" s="186">
        <f t="shared" si="75"/>
        <v>601</v>
      </c>
      <c r="M44" s="186">
        <f t="shared" si="75"/>
        <v>422</v>
      </c>
      <c r="N44" s="186">
        <f t="shared" si="75"/>
        <v>2432</v>
      </c>
      <c r="O44" s="186">
        <f t="shared" si="75"/>
        <v>-554</v>
      </c>
      <c r="P44" s="186">
        <f t="shared" si="75"/>
        <v>688</v>
      </c>
      <c r="Q44" s="186">
        <f t="shared" si="75"/>
        <v>3508</v>
      </c>
      <c r="R44" s="186">
        <f t="shared" si="75"/>
        <v>241</v>
      </c>
      <c r="S44" s="186">
        <f t="shared" si="75"/>
        <v>-974</v>
      </c>
      <c r="T44" s="186">
        <f t="shared" si="75"/>
        <v>1195</v>
      </c>
      <c r="U44" s="186">
        <f t="shared" si="75"/>
        <v>595</v>
      </c>
      <c r="V44" s="186">
        <f t="shared" si="75"/>
        <v>918</v>
      </c>
      <c r="W44" s="186">
        <f t="shared" si="75"/>
        <v>269</v>
      </c>
      <c r="X44" s="186">
        <f t="shared" ref="X44:Z44" si="76">X42+X43</f>
        <v>1429</v>
      </c>
      <c r="Y44" s="186">
        <f t="shared" si="76"/>
        <v>851</v>
      </c>
      <c r="Z44" s="186">
        <f t="shared" si="76"/>
        <v>-900</v>
      </c>
      <c r="AA44" s="186">
        <f t="shared" ref="AA44" si="77">AA42+AA43</f>
        <v>1775</v>
      </c>
      <c r="AB44" s="186">
        <f t="shared" ref="AB44:AC44" si="78">AB42+AB43</f>
        <v>610</v>
      </c>
      <c r="AC44" s="186">
        <f t="shared" si="78"/>
        <v>1720</v>
      </c>
      <c r="AD44" s="186">
        <f t="shared" ref="AD44:AE44" si="79">AD42+AD43</f>
        <v>175</v>
      </c>
      <c r="AE44" s="186">
        <f t="shared" si="79"/>
        <v>1160</v>
      </c>
      <c r="AF44" s="186">
        <f t="shared" ref="AF44:AG44" si="80">AF42+AF43</f>
        <v>3843.5579999999995</v>
      </c>
      <c r="AG44" s="186">
        <f t="shared" si="80"/>
        <v>2949.3190000000004</v>
      </c>
      <c r="AH44" s="186">
        <f t="shared" ref="AH44:AI44" si="81">AH42+AH43</f>
        <v>2206.5160000000001</v>
      </c>
      <c r="AI44" s="186">
        <f t="shared" si="81"/>
        <v>-547.85500000000002</v>
      </c>
      <c r="AJ44" s="186">
        <f t="shared" ref="AJ44:AM44" si="82">AJ42+AJ43</f>
        <v>950</v>
      </c>
      <c r="AK44" s="186">
        <f t="shared" si="82"/>
        <v>1450.13</v>
      </c>
      <c r="AL44" s="186">
        <f t="shared" si="82"/>
        <v>2556.2449999999999</v>
      </c>
      <c r="AM44" s="186">
        <f t="shared" si="82"/>
        <v>75.918999999999869</v>
      </c>
      <c r="AN44" s="186">
        <f t="shared" ref="AN44:AP44" si="83">AN42+AN43</f>
        <v>1201.92</v>
      </c>
      <c r="AO44" s="186">
        <f t="shared" si="83"/>
        <v>-581.98500000000058</v>
      </c>
      <c r="AP44" s="186">
        <f t="shared" si="83"/>
        <v>1957.4869999999983</v>
      </c>
      <c r="AQ44" s="186">
        <f t="shared" ref="AQ44:AT44" si="84">AQ42+AQ43</f>
        <v>31.609000000002197</v>
      </c>
      <c r="AR44" s="186">
        <f t="shared" si="84"/>
        <v>1936.4710000000005</v>
      </c>
      <c r="AS44" s="186">
        <f t="shared" si="84"/>
        <v>1666.3939999999993</v>
      </c>
      <c r="AT44" s="186">
        <f t="shared" si="84"/>
        <v>2092.4759999999997</v>
      </c>
      <c r="AU44" s="186">
        <f t="shared" ref="AU44" si="85">AU42+AU43</f>
        <v>23.596999999999753</v>
      </c>
      <c r="AV44" s="195"/>
      <c r="AX44" s="195"/>
    </row>
    <row r="45" spans="1:53" ht="17.25" customHeight="1" x14ac:dyDescent="0.25">
      <c r="A45" s="177"/>
      <c r="B45" s="184"/>
      <c r="C45" s="184"/>
      <c r="D45" s="185"/>
      <c r="E45" s="185"/>
      <c r="F45" s="185"/>
      <c r="G45" s="185"/>
      <c r="H45" s="185"/>
      <c r="I45" s="185"/>
      <c r="J45" s="185"/>
      <c r="K45" s="185"/>
      <c r="L45" s="185"/>
      <c r="M45" s="185"/>
      <c r="N45" s="185"/>
      <c r="O45" s="250"/>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X45" s="195"/>
    </row>
    <row r="46" spans="1:53" ht="17.25" customHeight="1" x14ac:dyDescent="0.25">
      <c r="A46" s="196" t="s">
        <v>93</v>
      </c>
      <c r="B46" s="181"/>
      <c r="C46" s="181"/>
      <c r="D46" s="182">
        <v>922</v>
      </c>
      <c r="E46" s="182">
        <f>1939-D46</f>
        <v>1017</v>
      </c>
      <c r="F46" s="182">
        <f>1587-E46-D46</f>
        <v>-352</v>
      </c>
      <c r="G46" s="182">
        <f>1324-F46-E46-D46</f>
        <v>-263</v>
      </c>
      <c r="H46" s="182">
        <v>10842</v>
      </c>
      <c r="I46" s="182">
        <f>9779-H46</f>
        <v>-1063</v>
      </c>
      <c r="J46" s="182">
        <f>10455-I46-H46</f>
        <v>676</v>
      </c>
      <c r="K46" s="182">
        <f>13769-J46-I46-H46</f>
        <v>3314</v>
      </c>
      <c r="L46" s="182">
        <v>-706</v>
      </c>
      <c r="M46" s="182">
        <f>-2484-L46</f>
        <v>-1778</v>
      </c>
      <c r="N46" s="182">
        <f>-6789-M46-L46</f>
        <v>-4305</v>
      </c>
      <c r="O46" s="182">
        <f>-6556-N46-M46-L46</f>
        <v>233</v>
      </c>
      <c r="P46" s="182">
        <v>-1729</v>
      </c>
      <c r="Q46" s="182">
        <f>-1234-P46</f>
        <v>495</v>
      </c>
      <c r="R46" s="182">
        <f>-4353-Q46-P46</f>
        <v>-3119</v>
      </c>
      <c r="S46" s="182">
        <f>-5369-R46-Q46-P46</f>
        <v>-1016</v>
      </c>
      <c r="T46" s="182">
        <v>-862</v>
      </c>
      <c r="U46" s="182">
        <f>-1243-T46</f>
        <v>-381</v>
      </c>
      <c r="V46" s="182">
        <f>-2810-U46-T46</f>
        <v>-1567</v>
      </c>
      <c r="W46" s="182">
        <f>-1926-V46-U46-T46</f>
        <v>884</v>
      </c>
      <c r="X46" s="182">
        <v>-603</v>
      </c>
      <c r="Y46" s="182">
        <f>-2671-X46</f>
        <v>-2068</v>
      </c>
      <c r="Z46" s="182">
        <f>-1627-X46-Y46</f>
        <v>1044</v>
      </c>
      <c r="AA46" s="182">
        <f>-4588-X46-Y46-Z46</f>
        <v>-2961</v>
      </c>
      <c r="AB46" s="182">
        <v>-49</v>
      </c>
      <c r="AC46" s="182">
        <f>-1154-AB46</f>
        <v>-1105</v>
      </c>
      <c r="AD46" s="182">
        <f>-2046-AB46-AC46</f>
        <v>-892</v>
      </c>
      <c r="AE46" s="182">
        <f>-3091-AB46-AC46-AD46</f>
        <v>-1045</v>
      </c>
      <c r="AF46" s="182">
        <v>-2546.1439999999998</v>
      </c>
      <c r="AG46" s="182">
        <f>-4130.669-AF46</f>
        <v>-1584.5250000000001</v>
      </c>
      <c r="AH46" s="182">
        <f>-7569.618-AF46-AG46</f>
        <v>-3438.9490000000001</v>
      </c>
      <c r="AI46" s="182">
        <f>-7090.575-AF46-AG46-AH46</f>
        <v>479.04299999999967</v>
      </c>
      <c r="AJ46" s="182">
        <v>-2399.9630000000002</v>
      </c>
      <c r="AK46" s="182">
        <f>-2961.16-AJ46</f>
        <v>-561.19699999999966</v>
      </c>
      <c r="AL46" s="182">
        <f>-4252.76-AJ46-AK46</f>
        <v>-1291.6000000000004</v>
      </c>
      <c r="AM46" s="182">
        <f>-5333.962-AJ46-AK46-AL46</f>
        <v>-1081.2020000000002</v>
      </c>
      <c r="AN46" s="182">
        <v>-2451.9609999999998</v>
      </c>
      <c r="AO46" s="182">
        <f>-1277.208-AN46</f>
        <v>1174.7529999999997</v>
      </c>
      <c r="AP46" s="182">
        <f>521.413-AN46-AO46</f>
        <v>1798.6210000000001</v>
      </c>
      <c r="AQ46" s="182">
        <f>-91.372-AP46-AO46-AN46</f>
        <v>-612.78500000000031</v>
      </c>
      <c r="AR46" s="182">
        <v>-5384.8959999999997</v>
      </c>
      <c r="AS46" s="182">
        <f>-7243.428-AR46</f>
        <v>-1858.5320000000002</v>
      </c>
      <c r="AT46" s="182">
        <f>-9060.774-AR46-AS46</f>
        <v>-1817.3459999999995</v>
      </c>
      <c r="AU46" s="182">
        <f>-147.19-AT46-AS46-AR46</f>
        <v>8913.5839999999989</v>
      </c>
      <c r="AX46" s="195"/>
    </row>
    <row r="47" spans="1:53" ht="17.25" customHeight="1" x14ac:dyDescent="0.25">
      <c r="A47" s="177" t="s">
        <v>97</v>
      </c>
      <c r="B47" s="184"/>
      <c r="C47" s="184"/>
      <c r="D47" s="185">
        <f t="shared" ref="D47:N47" si="86">D44+D46</f>
        <v>-276</v>
      </c>
      <c r="E47" s="185">
        <f t="shared" si="86"/>
        <v>1383</v>
      </c>
      <c r="F47" s="185">
        <f t="shared" si="86"/>
        <v>195</v>
      </c>
      <c r="G47" s="185">
        <f t="shared" si="86"/>
        <v>-792</v>
      </c>
      <c r="H47" s="185">
        <f t="shared" si="86"/>
        <v>1159</v>
      </c>
      <c r="I47" s="185">
        <f t="shared" si="86"/>
        <v>15</v>
      </c>
      <c r="J47" s="185">
        <f t="shared" si="86"/>
        <v>654</v>
      </c>
      <c r="K47" s="185">
        <f t="shared" si="86"/>
        <v>3803</v>
      </c>
      <c r="L47" s="185">
        <f t="shared" si="86"/>
        <v>-105</v>
      </c>
      <c r="M47" s="185">
        <f t="shared" si="86"/>
        <v>-1356</v>
      </c>
      <c r="N47" s="185">
        <f t="shared" si="86"/>
        <v>-1873</v>
      </c>
      <c r="O47" s="185">
        <f>O44+O46</f>
        <v>-321</v>
      </c>
      <c r="P47" s="185">
        <f t="shared" ref="P47:W47" si="87">P44+P46</f>
        <v>-1041</v>
      </c>
      <c r="Q47" s="185">
        <f t="shared" si="87"/>
        <v>4003</v>
      </c>
      <c r="R47" s="185">
        <f t="shared" si="87"/>
        <v>-2878</v>
      </c>
      <c r="S47" s="185">
        <f t="shared" si="87"/>
        <v>-1990</v>
      </c>
      <c r="T47" s="185">
        <f t="shared" si="87"/>
        <v>333</v>
      </c>
      <c r="U47" s="185">
        <f t="shared" si="87"/>
        <v>214</v>
      </c>
      <c r="V47" s="185">
        <f t="shared" si="87"/>
        <v>-649</v>
      </c>
      <c r="W47" s="185">
        <f t="shared" si="87"/>
        <v>1153</v>
      </c>
      <c r="X47" s="185">
        <f t="shared" ref="X47:Y47" si="88">X44+X46</f>
        <v>826</v>
      </c>
      <c r="Y47" s="185">
        <f t="shared" si="88"/>
        <v>-1217</v>
      </c>
      <c r="Z47" s="185">
        <f t="shared" ref="Z47:AA47" si="89">Z44+Z46</f>
        <v>144</v>
      </c>
      <c r="AA47" s="185">
        <f t="shared" si="89"/>
        <v>-1186</v>
      </c>
      <c r="AB47" s="185">
        <f t="shared" ref="AB47:AC47" si="90">AB44+AB46</f>
        <v>561</v>
      </c>
      <c r="AC47" s="185">
        <f t="shared" si="90"/>
        <v>615</v>
      </c>
      <c r="AD47" s="185">
        <f t="shared" ref="AD47:AE47" si="91">AD44+AD46</f>
        <v>-717</v>
      </c>
      <c r="AE47" s="185">
        <f t="shared" si="91"/>
        <v>115</v>
      </c>
      <c r="AF47" s="185">
        <f t="shared" ref="AF47:AG47" si="92">AF44+AF46</f>
        <v>1297.4139999999998</v>
      </c>
      <c r="AG47" s="185">
        <f t="shared" si="92"/>
        <v>1364.7940000000003</v>
      </c>
      <c r="AH47" s="185">
        <f t="shared" ref="AH47:AI47" si="93">AH44+AH46</f>
        <v>-1232.433</v>
      </c>
      <c r="AI47" s="185">
        <f t="shared" si="93"/>
        <v>-68.812000000000353</v>
      </c>
      <c r="AJ47" s="185">
        <f t="shared" ref="AJ47:AM47" si="94">AJ44+AJ46</f>
        <v>-1449.9630000000002</v>
      </c>
      <c r="AK47" s="185">
        <f t="shared" si="94"/>
        <v>888.93300000000045</v>
      </c>
      <c r="AL47" s="185">
        <f t="shared" si="94"/>
        <v>1264.6449999999995</v>
      </c>
      <c r="AM47" s="185">
        <f t="shared" si="94"/>
        <v>-1005.2830000000004</v>
      </c>
      <c r="AN47" s="185">
        <f t="shared" ref="AN47:AP47" si="95">AN44+AN46</f>
        <v>-1250.0409999999997</v>
      </c>
      <c r="AO47" s="185">
        <f t="shared" si="95"/>
        <v>592.76799999999912</v>
      </c>
      <c r="AP47" s="185">
        <f t="shared" si="95"/>
        <v>3756.1079999999984</v>
      </c>
      <c r="AQ47" s="185">
        <f t="shared" ref="AQ47:AT47" si="96">AQ44+AQ46</f>
        <v>-581.17599999999811</v>
      </c>
      <c r="AR47" s="185">
        <f t="shared" si="96"/>
        <v>-3448.4249999999993</v>
      </c>
      <c r="AS47" s="185">
        <f t="shared" si="96"/>
        <v>-192.13800000000083</v>
      </c>
      <c r="AT47" s="185">
        <f t="shared" si="96"/>
        <v>275.13000000000011</v>
      </c>
      <c r="AU47" s="185">
        <f t="shared" ref="AU47" si="97">AU44+AU46</f>
        <v>8937.1809999999987</v>
      </c>
      <c r="AX47" s="195"/>
    </row>
    <row r="48" spans="1:53" ht="17.25" customHeight="1" x14ac:dyDescent="0.25">
      <c r="A48" s="177"/>
      <c r="B48" s="184"/>
      <c r="C48" s="184"/>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X48" s="195"/>
    </row>
    <row r="49" spans="1:53" ht="17.25" customHeight="1" x14ac:dyDescent="0.25">
      <c r="A49" s="175" t="s">
        <v>94</v>
      </c>
      <c r="B49" s="178"/>
      <c r="C49" s="178"/>
      <c r="D49" s="179"/>
      <c r="E49" s="179">
        <f t="shared" ref="E49:AB49" si="98">D6</f>
        <v>517</v>
      </c>
      <c r="F49" s="179">
        <f t="shared" si="98"/>
        <v>1902</v>
      </c>
      <c r="G49" s="179">
        <f t="shared" si="98"/>
        <v>2117</v>
      </c>
      <c r="H49" s="179">
        <f t="shared" si="98"/>
        <v>1318</v>
      </c>
      <c r="I49" s="179">
        <f t="shared" si="98"/>
        <v>2472</v>
      </c>
      <c r="J49" s="179">
        <f t="shared" si="98"/>
        <v>2490</v>
      </c>
      <c r="K49" s="179">
        <f t="shared" si="98"/>
        <v>3147</v>
      </c>
      <c r="L49" s="179">
        <f t="shared" si="98"/>
        <v>6951</v>
      </c>
      <c r="M49" s="179">
        <f t="shared" si="98"/>
        <v>6853</v>
      </c>
      <c r="N49" s="179">
        <f t="shared" si="98"/>
        <v>5500</v>
      </c>
      <c r="O49" s="179">
        <f t="shared" si="98"/>
        <v>3644</v>
      </c>
      <c r="P49" s="179">
        <f t="shared" si="98"/>
        <v>3312</v>
      </c>
      <c r="Q49" s="179">
        <f t="shared" si="98"/>
        <v>2222</v>
      </c>
      <c r="R49" s="179">
        <f t="shared" si="98"/>
        <v>6217</v>
      </c>
      <c r="S49" s="179">
        <f t="shared" si="98"/>
        <v>3343</v>
      </c>
      <c r="T49" s="179">
        <f t="shared" si="98"/>
        <v>1400</v>
      </c>
      <c r="U49" s="179">
        <f t="shared" si="98"/>
        <v>1730</v>
      </c>
      <c r="V49" s="179">
        <f t="shared" si="98"/>
        <v>1943</v>
      </c>
      <c r="W49" s="179">
        <f t="shared" si="98"/>
        <v>1299</v>
      </c>
      <c r="X49" s="179">
        <f t="shared" si="98"/>
        <v>2455</v>
      </c>
      <c r="Y49" s="179">
        <f t="shared" si="98"/>
        <v>3289</v>
      </c>
      <c r="Z49" s="179">
        <f t="shared" si="98"/>
        <v>2094</v>
      </c>
      <c r="AA49" s="179">
        <f t="shared" si="98"/>
        <v>2399</v>
      </c>
      <c r="AB49" s="179">
        <f t="shared" si="98"/>
        <v>1047</v>
      </c>
      <c r="AC49" s="179">
        <f t="shared" ref="AC49:AI49" si="99">AB6</f>
        <v>1597</v>
      </c>
      <c r="AD49" s="179">
        <f t="shared" si="99"/>
        <v>2208</v>
      </c>
      <c r="AE49" s="179">
        <f t="shared" si="99"/>
        <v>1496</v>
      </c>
      <c r="AF49" s="179">
        <f t="shared" si="99"/>
        <v>1603</v>
      </c>
      <c r="AG49" s="179">
        <f t="shared" si="99"/>
        <v>2982.328</v>
      </c>
      <c r="AH49" s="179">
        <f t="shared" si="99"/>
        <v>4273.6149999999998</v>
      </c>
      <c r="AI49" s="179">
        <f t="shared" si="99"/>
        <v>3052.4870000000001</v>
      </c>
      <c r="AJ49" s="179">
        <f>AI6</f>
        <v>2965.5889999999999</v>
      </c>
      <c r="AK49" s="179">
        <f>AJ6</f>
        <v>1516</v>
      </c>
      <c r="AL49" s="179">
        <f t="shared" ref="AL49:AU49" si="100">AK6</f>
        <v>2406.1179999999999</v>
      </c>
      <c r="AM49" s="179">
        <f t="shared" si="100"/>
        <v>3669.6089999999999</v>
      </c>
      <c r="AN49" s="179">
        <f t="shared" si="100"/>
        <v>2664.3870000000002</v>
      </c>
      <c r="AO49" s="179">
        <f t="shared" si="100"/>
        <v>1414.6679999999999</v>
      </c>
      <c r="AP49" s="179">
        <f t="shared" si="100"/>
        <v>2008.4110000000001</v>
      </c>
      <c r="AQ49" s="179">
        <f t="shared" si="100"/>
        <v>5764.8059999999996</v>
      </c>
      <c r="AR49" s="179">
        <f t="shared" si="100"/>
        <v>5152.3029999999999</v>
      </c>
      <c r="AS49" s="179">
        <f t="shared" si="100"/>
        <v>1701.623</v>
      </c>
      <c r="AT49" s="179">
        <f t="shared" si="100"/>
        <v>1540.6179999999999</v>
      </c>
      <c r="AU49" s="179">
        <f t="shared" si="100"/>
        <v>1817.6189999999999</v>
      </c>
      <c r="AX49" s="195"/>
    </row>
    <row r="50" spans="1:53" ht="17.25" customHeight="1" x14ac:dyDescent="0.25">
      <c r="A50" s="196" t="s">
        <v>95</v>
      </c>
      <c r="B50" s="181"/>
      <c r="C50" s="181"/>
      <c r="D50" s="182">
        <v>1</v>
      </c>
      <c r="E50" s="182">
        <f>3-D50</f>
        <v>2</v>
      </c>
      <c r="F50" s="182">
        <f>23-E50-D50</f>
        <v>20</v>
      </c>
      <c r="G50" s="182">
        <f>17-F50-E50-D50</f>
        <v>-6</v>
      </c>
      <c r="H50" s="182">
        <v>-6</v>
      </c>
      <c r="I50" s="182">
        <f>-2-H50</f>
        <v>4</v>
      </c>
      <c r="J50" s="182">
        <v>0</v>
      </c>
      <c r="K50" s="182">
        <f>1-J50-I50-H50</f>
        <v>3</v>
      </c>
      <c r="L50" s="182">
        <v>8</v>
      </c>
      <c r="M50" s="182">
        <f>10-L50</f>
        <v>2</v>
      </c>
      <c r="N50" s="182">
        <f>26-M50-L50</f>
        <v>16</v>
      </c>
      <c r="O50" s="182">
        <f>16-N50-M50-L50</f>
        <v>-10</v>
      </c>
      <c r="P50" s="182">
        <v>-49</v>
      </c>
      <c r="Q50" s="182">
        <f>-57-P50</f>
        <v>-8</v>
      </c>
      <c r="R50" s="182">
        <f>-52-Q50-P50</f>
        <v>5</v>
      </c>
      <c r="S50" s="182">
        <f>-6-R50-Q50-P50</f>
        <v>46</v>
      </c>
      <c r="T50" s="182">
        <v>-2</v>
      </c>
      <c r="U50" s="182">
        <f>-3-T50</f>
        <v>-1</v>
      </c>
      <c r="V50" s="182">
        <f>1-U50-T50</f>
        <v>4</v>
      </c>
      <c r="W50" s="182">
        <f>4-V50-U50-T50</f>
        <v>3</v>
      </c>
      <c r="X50" s="182">
        <v>8</v>
      </c>
      <c r="Y50" s="182">
        <f>29-X50</f>
        <v>21</v>
      </c>
      <c r="Z50" s="182">
        <f>191-X50-Y50</f>
        <v>162</v>
      </c>
      <c r="AA50" s="182">
        <f>25-X50-Y50-Z50</f>
        <v>-166</v>
      </c>
      <c r="AB50" s="182">
        <v>-11</v>
      </c>
      <c r="AC50" s="182">
        <f>-15-AB50</f>
        <v>-4</v>
      </c>
      <c r="AD50" s="182">
        <f>-10-AB50-AC50</f>
        <v>5</v>
      </c>
      <c r="AE50" s="182">
        <f>-18-AD50-AC50-AB50</f>
        <v>-8</v>
      </c>
      <c r="AF50" s="182">
        <v>81.468999999999994</v>
      </c>
      <c r="AG50" s="182">
        <f>7.962-AF50</f>
        <v>-73.506999999999991</v>
      </c>
      <c r="AH50" s="182">
        <f>19.267-AF50-AG50</f>
        <v>11.304999999999993</v>
      </c>
      <c r="AI50" s="182">
        <f>1.181-AF50-AG50-AH50</f>
        <v>-18.085999999999999</v>
      </c>
      <c r="AJ50" s="182">
        <v>0</v>
      </c>
      <c r="AK50" s="182">
        <v>0</v>
      </c>
      <c r="AL50" s="182">
        <f>0.405-AJ50-AK50</f>
        <v>0.40500000000000003</v>
      </c>
      <c r="AM50" s="182">
        <f>0.466-AJ50-AK50-AL50</f>
        <v>6.0999999999999999E-2</v>
      </c>
      <c r="AN50" s="182">
        <v>0.32200000000000001</v>
      </c>
      <c r="AO50" s="182">
        <f>1.297-AN50</f>
        <v>0.97499999999999987</v>
      </c>
      <c r="AP50" s="182">
        <f>0.405-AN50-AO50</f>
        <v>-0.8919999999999999</v>
      </c>
      <c r="AQ50" s="182">
        <f>2.067-AO50-AP50</f>
        <v>1.9840000000000002</v>
      </c>
      <c r="AR50" s="182"/>
      <c r="AS50" s="182"/>
      <c r="AT50" s="182"/>
      <c r="AU50" s="182"/>
      <c r="AX50" s="195"/>
    </row>
    <row r="51" spans="1:53" ht="17.25" customHeight="1" x14ac:dyDescent="0.25">
      <c r="A51" s="177" t="s">
        <v>96</v>
      </c>
      <c r="B51" s="184"/>
      <c r="C51" s="184"/>
      <c r="D51" s="185"/>
      <c r="E51" s="185">
        <f t="shared" ref="E51:R51" si="101">E49+E47+E50</f>
        <v>1902</v>
      </c>
      <c r="F51" s="185">
        <f t="shared" si="101"/>
        <v>2117</v>
      </c>
      <c r="G51" s="185">
        <f t="shared" si="101"/>
        <v>1319</v>
      </c>
      <c r="H51" s="185">
        <f t="shared" si="101"/>
        <v>2471</v>
      </c>
      <c r="I51" s="185">
        <f t="shared" si="101"/>
        <v>2491</v>
      </c>
      <c r="J51" s="185">
        <f t="shared" si="101"/>
        <v>3144</v>
      </c>
      <c r="K51" s="185">
        <f t="shared" si="101"/>
        <v>6953</v>
      </c>
      <c r="L51" s="185">
        <f>L49+L47+L50</f>
        <v>6854</v>
      </c>
      <c r="M51" s="185">
        <f t="shared" si="101"/>
        <v>5499</v>
      </c>
      <c r="N51" s="185">
        <f>N49+N47+N50</f>
        <v>3643</v>
      </c>
      <c r="O51" s="185">
        <f t="shared" si="101"/>
        <v>3313</v>
      </c>
      <c r="P51" s="185">
        <f t="shared" si="101"/>
        <v>2222</v>
      </c>
      <c r="Q51" s="185">
        <f t="shared" si="101"/>
        <v>6217</v>
      </c>
      <c r="R51" s="185">
        <f t="shared" si="101"/>
        <v>3344</v>
      </c>
      <c r="S51" s="185">
        <f t="shared" ref="S51:X51" si="102">S49+S47+S50</f>
        <v>1399</v>
      </c>
      <c r="T51" s="185">
        <f t="shared" si="102"/>
        <v>1731</v>
      </c>
      <c r="U51" s="185">
        <f t="shared" si="102"/>
        <v>1943</v>
      </c>
      <c r="V51" s="185">
        <f t="shared" si="102"/>
        <v>1298</v>
      </c>
      <c r="W51" s="185">
        <f t="shared" si="102"/>
        <v>2455</v>
      </c>
      <c r="X51" s="185">
        <f t="shared" si="102"/>
        <v>3289</v>
      </c>
      <c r="Y51" s="185">
        <f t="shared" ref="Y51:Z51" si="103">Y49+Y47+Y50</f>
        <v>2093</v>
      </c>
      <c r="Z51" s="185">
        <f t="shared" si="103"/>
        <v>2400</v>
      </c>
      <c r="AA51" s="185">
        <f t="shared" ref="AA51" si="104">AA49+AA47+AA50</f>
        <v>1047</v>
      </c>
      <c r="AB51" s="185">
        <f t="shared" ref="AB51:AD51" si="105">AB49+AB47+AB50</f>
        <v>1597</v>
      </c>
      <c r="AC51" s="185">
        <f t="shared" si="105"/>
        <v>2208</v>
      </c>
      <c r="AD51" s="185">
        <f t="shared" si="105"/>
        <v>1496</v>
      </c>
      <c r="AE51" s="185">
        <f t="shared" ref="AE51:AF51" si="106">AE49+AE47+AE50</f>
        <v>1603</v>
      </c>
      <c r="AF51" s="185">
        <f t="shared" si="106"/>
        <v>2981.8829999999998</v>
      </c>
      <c r="AG51" s="185">
        <f t="shared" ref="AG51:AH51" si="107">AG49+AG47+AG50</f>
        <v>4273.6150000000007</v>
      </c>
      <c r="AH51" s="185">
        <f t="shared" si="107"/>
        <v>3052.4869999999996</v>
      </c>
      <c r="AI51" s="185">
        <f t="shared" ref="AI51:AJ51" si="108">AI49+AI47+AI50</f>
        <v>2965.5889999999999</v>
      </c>
      <c r="AJ51" s="185">
        <f t="shared" si="108"/>
        <v>1515.6259999999997</v>
      </c>
      <c r="AK51" s="185">
        <f t="shared" ref="AK51:AM51" si="109">AK49+AK47+AK50</f>
        <v>2404.9330000000004</v>
      </c>
      <c r="AL51" s="185">
        <f t="shared" si="109"/>
        <v>3671.1679999999997</v>
      </c>
      <c r="AM51" s="185">
        <f t="shared" si="109"/>
        <v>2664.3869999999997</v>
      </c>
      <c r="AN51" s="185">
        <f t="shared" ref="AN51:AP51" si="110">AN49+AN47+AN50</f>
        <v>1414.6680000000003</v>
      </c>
      <c r="AO51" s="185">
        <f t="shared" si="110"/>
        <v>2008.4109999999989</v>
      </c>
      <c r="AP51" s="185">
        <f t="shared" si="110"/>
        <v>5763.6269999999986</v>
      </c>
      <c r="AQ51" s="185">
        <f t="shared" ref="AQ51:AT51" si="111">AQ49+AQ47+AQ50</f>
        <v>5185.6140000000014</v>
      </c>
      <c r="AR51" s="185">
        <f t="shared" si="111"/>
        <v>1703.8780000000006</v>
      </c>
      <c r="AS51" s="185">
        <f t="shared" si="111"/>
        <v>1509.4849999999992</v>
      </c>
      <c r="AT51" s="185">
        <f t="shared" si="111"/>
        <v>1815.748</v>
      </c>
      <c r="AU51" s="185">
        <f t="shared" ref="AU51" si="112">AU49+AU47+AU50</f>
        <v>10754.8</v>
      </c>
      <c r="AX51" s="195"/>
    </row>
    <row r="52" spans="1:53" ht="17.25" customHeight="1" x14ac:dyDescent="0.25">
      <c r="A52" s="177"/>
      <c r="B52" s="184"/>
      <c r="C52" s="184"/>
      <c r="D52" s="185"/>
      <c r="E52" s="179">
        <f>E6</f>
        <v>1902</v>
      </c>
      <c r="F52" s="179">
        <f t="shared" ref="F52:AD52" si="113">F6</f>
        <v>2117</v>
      </c>
      <c r="G52" s="179">
        <f t="shared" si="113"/>
        <v>1318</v>
      </c>
      <c r="H52" s="179">
        <f t="shared" si="113"/>
        <v>2472</v>
      </c>
      <c r="I52" s="179">
        <f t="shared" si="113"/>
        <v>2490</v>
      </c>
      <c r="J52" s="179">
        <f t="shared" si="113"/>
        <v>3147</v>
      </c>
      <c r="K52" s="179">
        <f t="shared" si="113"/>
        <v>6951</v>
      </c>
      <c r="L52" s="179">
        <f t="shared" si="113"/>
        <v>6853</v>
      </c>
      <c r="M52" s="179">
        <f t="shared" si="113"/>
        <v>5500</v>
      </c>
      <c r="N52" s="179">
        <f t="shared" si="113"/>
        <v>3644</v>
      </c>
      <c r="O52" s="179">
        <f t="shared" si="113"/>
        <v>3312</v>
      </c>
      <c r="P52" s="179">
        <f t="shared" si="113"/>
        <v>2222</v>
      </c>
      <c r="Q52" s="179">
        <f t="shared" si="113"/>
        <v>6217</v>
      </c>
      <c r="R52" s="179">
        <f t="shared" si="113"/>
        <v>3343</v>
      </c>
      <c r="S52" s="179">
        <f t="shared" si="113"/>
        <v>1400</v>
      </c>
      <c r="T52" s="179">
        <f t="shared" si="113"/>
        <v>1730</v>
      </c>
      <c r="U52" s="179">
        <f t="shared" si="113"/>
        <v>1943</v>
      </c>
      <c r="V52" s="179">
        <f t="shared" si="113"/>
        <v>1299</v>
      </c>
      <c r="W52" s="179">
        <f t="shared" si="113"/>
        <v>2455</v>
      </c>
      <c r="X52" s="179">
        <f t="shared" si="113"/>
        <v>3289</v>
      </c>
      <c r="Y52" s="179">
        <f t="shared" si="113"/>
        <v>2094</v>
      </c>
      <c r="Z52" s="179">
        <f t="shared" si="113"/>
        <v>2399</v>
      </c>
      <c r="AA52" s="179">
        <f t="shared" si="113"/>
        <v>1047</v>
      </c>
      <c r="AB52" s="179">
        <f t="shared" si="113"/>
        <v>1597</v>
      </c>
      <c r="AC52" s="179">
        <f t="shared" si="113"/>
        <v>2208</v>
      </c>
      <c r="AD52" s="179">
        <f t="shared" si="113"/>
        <v>1496</v>
      </c>
      <c r="AE52" s="179">
        <f t="shared" ref="AE52:AF52" si="114">AE6</f>
        <v>1603</v>
      </c>
      <c r="AF52" s="179">
        <f t="shared" si="114"/>
        <v>2982.328</v>
      </c>
      <c r="AG52" s="179">
        <f t="shared" ref="AG52:AH52" si="115">AG6</f>
        <v>4273.6149999999998</v>
      </c>
      <c r="AH52" s="179">
        <f t="shared" si="115"/>
        <v>3052.4870000000001</v>
      </c>
      <c r="AI52" s="179">
        <f t="shared" ref="AI52:AJ52" si="116">AI6</f>
        <v>2965.5889999999999</v>
      </c>
      <c r="AJ52" s="179">
        <f t="shared" si="116"/>
        <v>1516</v>
      </c>
      <c r="AK52" s="179">
        <f t="shared" ref="AK52:AM52" si="117">AK6</f>
        <v>2406.1179999999999</v>
      </c>
      <c r="AL52" s="179">
        <f t="shared" si="117"/>
        <v>3669.6089999999999</v>
      </c>
      <c r="AM52" s="179">
        <f t="shared" si="117"/>
        <v>2664.3870000000002</v>
      </c>
      <c r="AN52" s="179">
        <f t="shared" ref="AN52:AP52" si="118">AN6</f>
        <v>1414.6679999999999</v>
      </c>
      <c r="AO52" s="179">
        <f t="shared" si="118"/>
        <v>2008.4110000000001</v>
      </c>
      <c r="AP52" s="179">
        <f t="shared" si="118"/>
        <v>5764.8059999999996</v>
      </c>
      <c r="AQ52" s="179">
        <f t="shared" ref="AQ52:AT52" si="119">AQ6</f>
        <v>5152.3029999999999</v>
      </c>
      <c r="AR52" s="179">
        <f t="shared" si="119"/>
        <v>1701.623</v>
      </c>
      <c r="AS52" s="179">
        <f t="shared" si="119"/>
        <v>1540.6179999999999</v>
      </c>
      <c r="AT52" s="179">
        <f t="shared" si="119"/>
        <v>1817.6189999999999</v>
      </c>
      <c r="AU52" s="179">
        <f t="shared" ref="AU52" si="120">AU6</f>
        <v>966.02700000000004</v>
      </c>
      <c r="AX52" s="195"/>
    </row>
    <row r="53" spans="1:53" ht="17.25" customHeight="1" x14ac:dyDescent="0.25">
      <c r="A53" s="177"/>
      <c r="B53" s="184"/>
      <c r="C53" s="184"/>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185"/>
      <c r="AL53" s="185"/>
      <c r="AM53" s="185"/>
      <c r="AN53" s="185"/>
      <c r="AO53" s="185"/>
      <c r="AP53" s="185"/>
      <c r="AQ53" s="185"/>
      <c r="AR53" s="185"/>
      <c r="AS53" s="185"/>
      <c r="AT53" s="185"/>
      <c r="AU53" s="185"/>
      <c r="AX53" s="195"/>
    </row>
    <row r="54" spans="1:53" ht="17.25" customHeight="1" x14ac:dyDescent="0.25">
      <c r="A54" s="177" t="s">
        <v>98</v>
      </c>
      <c r="B54" s="184"/>
      <c r="C54" s="184"/>
      <c r="D54" s="185">
        <v>1791</v>
      </c>
      <c r="E54" s="185">
        <f>3353-D54</f>
        <v>1562</v>
      </c>
      <c r="F54" s="185">
        <f>4899-E54-D54</f>
        <v>1546</v>
      </c>
      <c r="G54" s="185">
        <f>6932-F54-E54-D54</f>
        <v>2033</v>
      </c>
      <c r="H54" s="185">
        <v>1747</v>
      </c>
      <c r="I54" s="185">
        <f>3065-H54</f>
        <v>1318</v>
      </c>
      <c r="J54" s="185">
        <f>4359-I54-H54</f>
        <v>1294</v>
      </c>
      <c r="K54" s="185">
        <f>5749-J54-I54-H54</f>
        <v>1390</v>
      </c>
      <c r="L54" s="185">
        <v>1211</v>
      </c>
      <c r="M54" s="185">
        <f>2890-L54</f>
        <v>1679</v>
      </c>
      <c r="N54" s="185">
        <f>4330-M54-L54</f>
        <v>1440</v>
      </c>
      <c r="O54" s="185">
        <f>4848-N54-M54-L54</f>
        <v>518</v>
      </c>
      <c r="P54" s="185">
        <v>1048</v>
      </c>
      <c r="Q54" s="185">
        <f>2263-P54</f>
        <v>1215</v>
      </c>
      <c r="R54" s="185">
        <f>3450-Q54-P54</f>
        <v>1187</v>
      </c>
      <c r="S54" s="185">
        <f>6474-R54-Q54-P54</f>
        <v>3024</v>
      </c>
      <c r="T54" s="185">
        <v>971</v>
      </c>
      <c r="U54" s="185">
        <f>3540-T54</f>
        <v>2569</v>
      </c>
      <c r="V54" s="185">
        <f>4945-U54-T54</f>
        <v>1405</v>
      </c>
      <c r="W54" s="185">
        <f>7190-V54-U54-T54</f>
        <v>2245</v>
      </c>
      <c r="X54" s="185">
        <v>1559</v>
      </c>
      <c r="Y54" s="185">
        <f>3271-X54</f>
        <v>1712</v>
      </c>
      <c r="Z54" s="185">
        <f>4940-Y54-X54</f>
        <v>1669</v>
      </c>
      <c r="AA54" s="185">
        <v>1852</v>
      </c>
      <c r="AB54" s="185">
        <v>1511</v>
      </c>
      <c r="AC54" s="185">
        <v>2095</v>
      </c>
      <c r="AD54" s="185">
        <f>5515-AB54-AC54</f>
        <v>1909</v>
      </c>
      <c r="AE54" s="185">
        <v>2481</v>
      </c>
      <c r="AF54" s="185">
        <v>1784</v>
      </c>
      <c r="AG54" s="185">
        <f>3735-AF54</f>
        <v>1951</v>
      </c>
      <c r="AH54" s="185">
        <f>5069-AF54-AG54</f>
        <v>1334</v>
      </c>
      <c r="AI54" s="185">
        <f>6155-AH54-AG54-AF54</f>
        <v>1086</v>
      </c>
      <c r="AJ54" s="185">
        <v>1716</v>
      </c>
      <c r="AK54" s="185">
        <f>4573-AJ54</f>
        <v>2857</v>
      </c>
      <c r="AL54" s="185">
        <f>6356-AJ54-AK54</f>
        <v>1783</v>
      </c>
      <c r="AM54" s="185">
        <f>9921-AL54-AK54-AJ54</f>
        <v>3565</v>
      </c>
      <c r="AN54" s="185">
        <v>1234</v>
      </c>
      <c r="AO54" s="197">
        <f>AO55</f>
        <v>1983.5380000000005</v>
      </c>
      <c r="AP54" s="266">
        <f>6320-AO54-AN54</f>
        <v>3102.4619999999995</v>
      </c>
      <c r="AQ54" s="266">
        <f>9063-AP54-AO54-AN54</f>
        <v>2743</v>
      </c>
      <c r="AR54" s="185">
        <v>1413</v>
      </c>
      <c r="AS54" s="185">
        <f>3156-AR54</f>
        <v>1743</v>
      </c>
      <c r="AT54" s="185">
        <f>5545-AS54-AR54</f>
        <v>2389</v>
      </c>
      <c r="AU54" s="266">
        <f>7158-AT54-AS54-AR54</f>
        <v>1613</v>
      </c>
      <c r="AW54" s="36" t="s">
        <v>431</v>
      </c>
      <c r="AX54" s="195" t="s">
        <v>377</v>
      </c>
    </row>
    <row r="55" spans="1:53" ht="17.25" customHeight="1" x14ac:dyDescent="0.25">
      <c r="A55" s="175" t="s">
        <v>99</v>
      </c>
      <c r="B55" s="178"/>
      <c r="C55" s="178"/>
      <c r="D55" s="179">
        <v>1982</v>
      </c>
      <c r="E55" s="179">
        <f>4048-D55</f>
        <v>2066</v>
      </c>
      <c r="F55" s="179">
        <f>5841-E55-D55</f>
        <v>1793</v>
      </c>
      <c r="G55" s="179">
        <f>7394-F55-E55-D55</f>
        <v>1553</v>
      </c>
      <c r="H55" s="179">
        <v>1614</v>
      </c>
      <c r="I55" s="179">
        <f>3602-H55</f>
        <v>1988</v>
      </c>
      <c r="J55" s="179">
        <f>5294-I55-H55</f>
        <v>1692</v>
      </c>
      <c r="K55" s="179">
        <f>7095-J55-I55-H55</f>
        <v>1801</v>
      </c>
      <c r="L55" s="179">
        <v>769</v>
      </c>
      <c r="M55" s="179">
        <f>2282-L55</f>
        <v>1513</v>
      </c>
      <c r="N55" s="179">
        <f>2964-M55-L55</f>
        <v>682</v>
      </c>
      <c r="O55" s="179">
        <f>4146-N55-M55-L55</f>
        <v>1182</v>
      </c>
      <c r="P55" s="179">
        <v>1124</v>
      </c>
      <c r="Q55" s="179">
        <f>1870-P55</f>
        <v>746</v>
      </c>
      <c r="R55" s="179">
        <f>4391-Q55-P55</f>
        <v>2521</v>
      </c>
      <c r="S55" s="179">
        <f>5584-R55-Q55-P55</f>
        <v>1193</v>
      </c>
      <c r="T55" s="179">
        <v>1306</v>
      </c>
      <c r="U55" s="179">
        <f>3703-T55</f>
        <v>2397</v>
      </c>
      <c r="V55" s="179">
        <f>5259-U55-T55</f>
        <v>1556</v>
      </c>
      <c r="W55" s="179">
        <f>6697-V55-U55-T55</f>
        <v>1438</v>
      </c>
      <c r="X55" s="179">
        <v>960</v>
      </c>
      <c r="Y55" s="179">
        <f>2032-X55</f>
        <v>1072</v>
      </c>
      <c r="Z55" s="179">
        <f>3278-Y55-X55</f>
        <v>1246</v>
      </c>
      <c r="AA55" s="179">
        <v>2546</v>
      </c>
      <c r="AB55" s="179">
        <v>2477</v>
      </c>
      <c r="AC55" s="179">
        <v>2168</v>
      </c>
      <c r="AD55" s="179">
        <f>6501-AB55-AC55</f>
        <v>1856</v>
      </c>
      <c r="AE55" s="179">
        <v>2595</v>
      </c>
      <c r="AF55" s="179">
        <v>1927.991</v>
      </c>
      <c r="AG55" s="179">
        <f>4501.301-AF55</f>
        <v>2573.3100000000004</v>
      </c>
      <c r="AH55" s="179">
        <f>6034.573-AF55-AG55</f>
        <v>1533.2719999999999</v>
      </c>
      <c r="AI55" s="179">
        <f>7766.226-AF55-AG55-AH55</f>
        <v>1731.6529999999993</v>
      </c>
      <c r="AJ55" s="179">
        <v>1851.4570000000001</v>
      </c>
      <c r="AK55" s="179">
        <f>4069.925-AJ55</f>
        <v>2218.4679999999998</v>
      </c>
      <c r="AL55" s="179">
        <f>5683.723-AJ55-AK55</f>
        <v>1613.7979999999998</v>
      </c>
      <c r="AM55" s="179">
        <f>7292.595-AJ55-AK55-AL55</f>
        <v>1608.8720000000003</v>
      </c>
      <c r="AN55" s="179">
        <v>2470.9989999999998</v>
      </c>
      <c r="AO55" s="179">
        <f>4454.537-AN55</f>
        <v>1983.5380000000005</v>
      </c>
      <c r="AP55" s="179">
        <f>6414.073-AO55-AN55</f>
        <v>1959.5360000000001</v>
      </c>
      <c r="AQ55" s="179">
        <f>8831.071-AP55-AO55-AN55</f>
        <v>2416.9979999999996</v>
      </c>
      <c r="AR55" s="179">
        <v>2326.1289999999999</v>
      </c>
      <c r="AS55" s="179">
        <f>5193.652-AR55</f>
        <v>2867.5230000000001</v>
      </c>
      <c r="AT55" s="179">
        <f>8059.244-AS55-AR55</f>
        <v>2865.5919999999996</v>
      </c>
      <c r="AU55" s="179">
        <f>10424.33-AT55-AS55-AR55</f>
        <v>2365.0860000000002</v>
      </c>
      <c r="AX55" s="195" t="s">
        <v>378</v>
      </c>
    </row>
    <row r="56" spans="1:53" ht="17.25" customHeight="1" x14ac:dyDescent="0.25">
      <c r="A56" s="177"/>
      <c r="B56" s="184"/>
      <c r="C56" s="184"/>
      <c r="D56" s="185"/>
      <c r="E56" s="185"/>
      <c r="F56" s="185"/>
      <c r="G56" s="185"/>
      <c r="H56" s="185"/>
      <c r="I56" s="185"/>
      <c r="J56" s="185"/>
      <c r="K56" s="185"/>
      <c r="L56" s="185"/>
      <c r="M56" s="185"/>
      <c r="N56" s="185"/>
      <c r="O56" s="185"/>
      <c r="P56" s="185"/>
      <c r="Q56" s="185"/>
      <c r="R56" s="185"/>
      <c r="S56" s="185"/>
      <c r="T56" s="185"/>
      <c r="U56" s="185"/>
      <c r="V56" s="185"/>
      <c r="W56" s="185"/>
      <c r="X56" s="185"/>
      <c r="Y56" s="185"/>
      <c r="Z56" s="185"/>
      <c r="AA56" s="185"/>
      <c r="AB56" s="185"/>
      <c r="AC56" s="185"/>
      <c r="AD56" s="185"/>
      <c r="AE56" s="185"/>
      <c r="AF56" s="185"/>
      <c r="AG56" s="185"/>
      <c r="AH56" s="185"/>
      <c r="AI56" s="185"/>
      <c r="AJ56" s="185"/>
      <c r="AK56" s="185"/>
      <c r="AL56" s="185"/>
      <c r="AM56" s="71">
        <f>SUM(AJ54:AM54)/SUM('Reported Group Highlights'!AJ25:AM25)</f>
        <v>0.37082236147424408</v>
      </c>
      <c r="AN56" s="185"/>
      <c r="AO56" s="185"/>
      <c r="AP56" s="185"/>
      <c r="AQ56" s="71">
        <f>SUM(AN54:AQ54)/SUM('Reported Group Highlights'!AN25:AQ25)</f>
        <v>0.31099450504313469</v>
      </c>
      <c r="AR56" s="185"/>
      <c r="AS56" s="185"/>
      <c r="AT56" s="185"/>
      <c r="AU56" s="71">
        <f>SUM(AR54:AU54)/SUM('Reported Group Highlights'!AR25:AU25)</f>
        <v>0.22145460779191656</v>
      </c>
    </row>
    <row r="57" spans="1:53" x14ac:dyDescent="0.25">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row>
    <row r="58" spans="1:53" x14ac:dyDescent="0.25">
      <c r="A58" s="112" t="s">
        <v>38</v>
      </c>
      <c r="B58" s="198"/>
      <c r="C58" s="198"/>
      <c r="D58" s="199"/>
      <c r="E58" s="113"/>
      <c r="F58" s="199"/>
      <c r="G58" s="113"/>
      <c r="H58" s="199"/>
      <c r="I58" s="113"/>
      <c r="J58" s="199"/>
      <c r="K58" s="113"/>
      <c r="L58" s="199"/>
      <c r="M58" s="113"/>
      <c r="N58" s="199"/>
      <c r="O58" s="113"/>
      <c r="P58" s="199"/>
      <c r="Q58" s="113"/>
      <c r="R58" s="199"/>
      <c r="S58" s="199"/>
      <c r="T58" s="199"/>
      <c r="U58" s="199"/>
      <c r="V58" s="199"/>
      <c r="W58" s="199"/>
      <c r="X58" s="199"/>
      <c r="Y58" s="199"/>
      <c r="Z58" s="199"/>
      <c r="AA58" s="199"/>
      <c r="AB58" s="199"/>
      <c r="AC58" s="199"/>
      <c r="AD58" s="199"/>
      <c r="AE58" s="199"/>
      <c r="AF58" s="199"/>
      <c r="AG58" s="199"/>
      <c r="AH58" s="199"/>
      <c r="AI58" s="199"/>
      <c r="AJ58" s="199"/>
      <c r="AK58" s="199"/>
      <c r="AL58" s="199"/>
      <c r="AM58" s="199"/>
      <c r="AN58" s="199"/>
      <c r="AO58" s="199"/>
      <c r="AP58" s="199"/>
      <c r="AQ58" s="199"/>
      <c r="AR58" s="199"/>
      <c r="AS58" s="199"/>
      <c r="AT58" s="199"/>
      <c r="AU58" s="199"/>
      <c r="AV58" s="112"/>
      <c r="AW58" s="198"/>
      <c r="AX58" s="198"/>
      <c r="AY58" s="200"/>
      <c r="AZ58" s="114"/>
      <c r="BA58" s="200"/>
    </row>
    <row r="59" spans="1:53" x14ac:dyDescent="0.25">
      <c r="A59" s="112" t="s">
        <v>106</v>
      </c>
      <c r="B59" s="198"/>
      <c r="C59" s="198"/>
      <c r="D59" s="199"/>
      <c r="E59" s="251"/>
      <c r="F59" s="252"/>
      <c r="G59" s="251"/>
      <c r="H59" s="252"/>
      <c r="I59" s="251"/>
      <c r="J59" s="252"/>
      <c r="K59" s="251"/>
      <c r="L59" s="252"/>
      <c r="M59" s="251"/>
      <c r="N59" s="252"/>
      <c r="O59" s="251"/>
      <c r="P59" s="252"/>
      <c r="Q59" s="251"/>
      <c r="R59" s="252"/>
      <c r="S59" s="252"/>
      <c r="T59" s="252"/>
      <c r="U59" s="252"/>
      <c r="V59" s="252"/>
      <c r="W59" s="252"/>
      <c r="X59" s="252"/>
      <c r="Y59" s="252"/>
      <c r="Z59" s="252"/>
      <c r="AA59" s="252"/>
      <c r="AB59" s="252"/>
      <c r="AC59" s="252"/>
      <c r="AD59" s="252"/>
      <c r="AE59" s="252"/>
      <c r="AF59" s="252"/>
      <c r="AG59" s="252"/>
      <c r="AH59" s="252"/>
      <c r="AI59" s="252"/>
      <c r="AJ59" s="252"/>
      <c r="AK59" s="252"/>
      <c r="AL59" s="252"/>
      <c r="AM59" s="252"/>
      <c r="AN59" s="252"/>
      <c r="AO59" s="199"/>
      <c r="AP59" s="199"/>
      <c r="AQ59" s="199"/>
      <c r="AR59" s="252"/>
      <c r="AS59" s="252"/>
      <c r="AT59" s="199"/>
      <c r="AU59" s="199"/>
      <c r="AV59" s="112"/>
      <c r="AW59" s="198"/>
      <c r="AX59" s="198"/>
      <c r="AY59" s="200"/>
      <c r="AZ59" s="114"/>
      <c r="BA59" s="200"/>
    </row>
    <row r="60" spans="1:53" x14ac:dyDescent="0.25">
      <c r="D60" s="116"/>
      <c r="E60" s="116"/>
      <c r="F60" s="116"/>
      <c r="G60" s="116"/>
      <c r="H60" s="116"/>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250"/>
      <c r="AL60" s="250"/>
      <c r="AM60" s="250"/>
      <c r="AN60" s="250"/>
      <c r="AO60" s="116"/>
      <c r="AP60" s="116"/>
      <c r="AQ60" s="116"/>
      <c r="AR60" s="250"/>
      <c r="AS60" s="250"/>
      <c r="AT60" s="116"/>
      <c r="AU60" s="116"/>
    </row>
    <row r="61" spans="1:53" x14ac:dyDescent="0.25">
      <c r="A61" s="43" t="s">
        <v>107</v>
      </c>
      <c r="B61" s="195"/>
      <c r="C61" s="195"/>
      <c r="D61" s="201">
        <f>D20+D25-D6</f>
        <v>14143</v>
      </c>
      <c r="E61" s="201">
        <f t="shared" ref="E61:S61" si="121">E20+E25-E6</f>
        <v>15181</v>
      </c>
      <c r="F61" s="201">
        <f t="shared" si="121"/>
        <v>15424</v>
      </c>
      <c r="G61" s="201">
        <f t="shared" si="121"/>
        <v>16504</v>
      </c>
      <c r="H61" s="201">
        <f t="shared" si="121"/>
        <v>20244</v>
      </c>
      <c r="I61" s="201">
        <f t="shared" si="121"/>
        <v>21810</v>
      </c>
      <c r="J61" s="201">
        <f t="shared" si="121"/>
        <v>21160</v>
      </c>
      <c r="K61" s="201">
        <f t="shared" si="121"/>
        <v>16458</v>
      </c>
      <c r="L61" s="201">
        <f t="shared" si="121"/>
        <v>16873</v>
      </c>
      <c r="M61" s="201">
        <f t="shared" si="121"/>
        <v>17033</v>
      </c>
      <c r="N61" s="201">
        <f t="shared" si="121"/>
        <v>16076</v>
      </c>
      <c r="O61" s="201">
        <f t="shared" si="121"/>
        <v>16744</v>
      </c>
      <c r="P61" s="201">
        <f t="shared" si="121"/>
        <v>16369</v>
      </c>
      <c r="Q61" s="201">
        <f t="shared" si="121"/>
        <v>11672</v>
      </c>
      <c r="R61" s="201">
        <f t="shared" si="121"/>
        <v>11814</v>
      </c>
      <c r="S61" s="201">
        <f t="shared" si="121"/>
        <v>13271</v>
      </c>
      <c r="T61" s="201">
        <f t="shared" ref="T61:U61" si="122">T20+T25-T6</f>
        <v>12830</v>
      </c>
      <c r="U61" s="201">
        <f t="shared" si="122"/>
        <v>12621</v>
      </c>
      <c r="V61" s="201">
        <f t="shared" ref="V61:W61" si="123">V20+V25-V6</f>
        <v>12081</v>
      </c>
      <c r="W61" s="201">
        <f t="shared" si="123"/>
        <v>12296</v>
      </c>
      <c r="X61" s="201">
        <f t="shared" ref="X61:Y61" si="124">X20+X25-X6</f>
        <v>11537</v>
      </c>
      <c r="Y61" s="201">
        <f t="shared" si="124"/>
        <v>11203</v>
      </c>
      <c r="Z61" s="201">
        <f t="shared" ref="Z61:AA61" si="125">Z20+Z25-Z6</f>
        <v>12557</v>
      </c>
      <c r="AA61" s="201">
        <f t="shared" si="125"/>
        <v>11517</v>
      </c>
      <c r="AB61" s="201">
        <f t="shared" ref="AB61:AC61" si="126">AB20+AB25-AB6</f>
        <v>12238</v>
      </c>
      <c r="AC61" s="201">
        <f t="shared" si="126"/>
        <v>11331</v>
      </c>
      <c r="AD61" s="201">
        <f t="shared" ref="AD61:AE61" si="127">AD20+AD25-AD6</f>
        <v>11897</v>
      </c>
      <c r="AE61" s="201">
        <f t="shared" si="127"/>
        <v>11207</v>
      </c>
      <c r="AF61" s="201">
        <f t="shared" ref="AF61:AG61" si="128">AF20+AF25-AF6</f>
        <v>27593.134999999995</v>
      </c>
      <c r="AG61" s="201">
        <f t="shared" si="128"/>
        <v>28155.109000000004</v>
      </c>
      <c r="AH61" s="201">
        <f t="shared" ref="AH61" si="129">AH20+AH25-AH6</f>
        <v>28750.548999999999</v>
      </c>
      <c r="AI61" s="201">
        <f t="shared" ref="AI61:AN61" si="130">AI20+AI25-AI6</f>
        <v>30662.130000000005</v>
      </c>
      <c r="AJ61" s="201">
        <f t="shared" si="130"/>
        <v>30731</v>
      </c>
      <c r="AK61" s="201">
        <f t="shared" si="130"/>
        <v>31584.335999999999</v>
      </c>
      <c r="AL61" s="201">
        <f t="shared" si="130"/>
        <v>30938.345000000005</v>
      </c>
      <c r="AM61" s="201">
        <f t="shared" si="130"/>
        <v>32984.251000000004</v>
      </c>
      <c r="AN61" s="201">
        <f t="shared" si="130"/>
        <v>34372.915000000001</v>
      </c>
      <c r="AO61" s="201">
        <f t="shared" ref="AO61:AP61" si="131">AO20+AO25-AO6</f>
        <v>37857.214999999997</v>
      </c>
      <c r="AP61" s="201">
        <f t="shared" si="131"/>
        <v>38507.265000000007</v>
      </c>
      <c r="AQ61" s="201">
        <f t="shared" ref="AQ61:AT61" si="132">AQ20+AQ25-AQ6</f>
        <v>38616.854000000007</v>
      </c>
      <c r="AR61" s="201">
        <f t="shared" si="132"/>
        <v>39027.519</v>
      </c>
      <c r="AS61" s="201">
        <f t="shared" si="132"/>
        <v>40928.127</v>
      </c>
      <c r="AT61" s="201">
        <f t="shared" si="132"/>
        <v>42324.005000000005</v>
      </c>
      <c r="AU61" s="201">
        <f t="shared" ref="AU61" si="133">AU20+AU25-AU6</f>
        <v>42947.588000000003</v>
      </c>
    </row>
    <row r="62" spans="1:53" x14ac:dyDescent="0.25">
      <c r="B62" s="195"/>
      <c r="C62" s="195"/>
      <c r="D62" s="201"/>
      <c r="E62" s="201"/>
      <c r="F62" s="201"/>
      <c r="G62" s="201"/>
      <c r="H62" s="201"/>
      <c r="I62" s="201"/>
      <c r="J62" s="201"/>
      <c r="K62" s="201"/>
      <c r="L62" s="201"/>
      <c r="M62" s="201"/>
      <c r="N62" s="201"/>
      <c r="O62" s="201"/>
      <c r="P62" s="201"/>
      <c r="Q62" s="201"/>
      <c r="R62" s="201"/>
      <c r="S62" s="201"/>
      <c r="T62" s="201"/>
      <c r="U62" s="201"/>
      <c r="V62" s="201"/>
      <c r="W62" s="201"/>
      <c r="X62" s="201"/>
      <c r="Y62" s="201"/>
      <c r="Z62" s="201"/>
      <c r="AA62" s="201"/>
      <c r="AB62" s="201"/>
      <c r="AC62" s="201"/>
      <c r="AD62" s="201"/>
      <c r="AE62" s="201"/>
      <c r="AF62" s="201"/>
      <c r="AG62" s="201"/>
      <c r="AH62" s="201"/>
      <c r="AI62" s="201"/>
      <c r="AJ62" s="201"/>
      <c r="AK62" s="201"/>
      <c r="AL62" s="201"/>
      <c r="AM62" s="201"/>
      <c r="AN62" s="201"/>
      <c r="AO62" s="201"/>
      <c r="AP62" s="201"/>
      <c r="AQ62" s="201"/>
      <c r="AR62" s="201"/>
      <c r="AS62" s="201"/>
      <c r="AT62" s="201"/>
      <c r="AU62" s="201"/>
    </row>
    <row r="63" spans="1:53" x14ac:dyDescent="0.25">
      <c r="A63" s="36" t="s">
        <v>109</v>
      </c>
      <c r="B63" s="36"/>
      <c r="C63" s="36"/>
      <c r="D63" s="202">
        <f>D61/('Reported Group Highlights'!D42*4)</f>
        <v>1.7460493827160495</v>
      </c>
      <c r="E63" s="202">
        <f>E61/('Reported Group Highlights'!E42*4)</f>
        <v>1.7743104254324451</v>
      </c>
      <c r="F63" s="202">
        <f>F61/('Reported Group Highlights'!F42*4)</f>
        <v>1.7099778270509978</v>
      </c>
      <c r="G63" s="202">
        <f>G61/('Reported Group Highlights'!G42*4)</f>
        <v>1.8419642857142857</v>
      </c>
      <c r="H63" s="202">
        <f>H61/('Reported Group Highlights'!H42*4)</f>
        <v>2.299409359382099</v>
      </c>
      <c r="I63" s="202">
        <f>I61/('Reported Group Highlights'!I42*4)</f>
        <v>2.6455604075691412</v>
      </c>
      <c r="J63" s="202">
        <f>J61/('Reported Group Highlights'!J42*4)</f>
        <v>2.5667151868025231</v>
      </c>
      <c r="K63" s="202">
        <f>K61/('Reported Group Highlights'!K42*4)</f>
        <v>1.788913043478261</v>
      </c>
      <c r="L63" s="202">
        <f>L61/('Reported Group Highlights'!L42*4)</f>
        <v>2.2473361747469367</v>
      </c>
      <c r="M63" s="202">
        <f>M61/('Reported Group Highlights'!M42*4)</f>
        <v>2.1291250000000002</v>
      </c>
      <c r="N63" s="202">
        <f>N61/('Reported Group Highlights'!N42*4)</f>
        <v>1.8301457194899817</v>
      </c>
      <c r="O63" s="202">
        <f>O61/('Reported Group Highlights'!O42*4)</f>
        <v>1.8043103448275861</v>
      </c>
      <c r="P63" s="202">
        <f>P61/('Reported Group Highlights'!P42*4)</f>
        <v>1.8669023722627738</v>
      </c>
      <c r="Q63" s="202">
        <f>Q61/('Reported Group Highlights'!Q42*4)</f>
        <v>1.4130750605326876</v>
      </c>
      <c r="R63" s="202">
        <f>R61/('Reported Group Highlights'!R42*4)</f>
        <v>1.4916666666666667</v>
      </c>
      <c r="S63" s="202">
        <f>S61/('Reported Group Highlights'!S42*4)</f>
        <v>1.8229395604395604</v>
      </c>
      <c r="T63" s="202">
        <f>T61/('Reported Group Highlights'!T42*4)</f>
        <v>1.7356601731601731</v>
      </c>
      <c r="U63" s="202">
        <f>U61/('Reported Group Highlights'!U42*4)</f>
        <v>1.5220694645441388</v>
      </c>
      <c r="V63" s="202">
        <f>V61/('Reported Group Highlights'!V42*4)</f>
        <v>1.3240903112669882</v>
      </c>
      <c r="W63" s="202">
        <f>W61/('Reported Group Highlights'!W42*4)</f>
        <v>1.4506842850401132</v>
      </c>
      <c r="X63" s="202">
        <f>X61/('Reported Group Highlights'!X42*4)</f>
        <v>1.4522910372608258</v>
      </c>
      <c r="Y63" s="202">
        <f>Y61/('Reported Group Highlights'!Y42*4)</f>
        <v>1.4003749999999999</v>
      </c>
      <c r="Z63" s="202">
        <f>Z61/('Reported Group Highlights'!Z42*4)</f>
        <v>1.4426700367647058</v>
      </c>
      <c r="AA63" s="202">
        <f>AA61/('Reported Group Highlights'!AA42*4)</f>
        <v>1.2246916205869842</v>
      </c>
      <c r="AB63" s="202">
        <f>AB61/('Reported Group Highlights'!AB42*4)</f>
        <v>1.3424747696358053</v>
      </c>
      <c r="AC63" s="202">
        <f>AC61/('Reported Group Highlights'!AC42*4)</f>
        <v>1.1463982193443949</v>
      </c>
      <c r="AD63" s="202">
        <f>AD61/('Reported Group Highlights'!AD42*4)</f>
        <v>1.140433282208589</v>
      </c>
      <c r="AE63" s="202">
        <f>AE61/('Reported Group Highlights'!AE42*4)</f>
        <v>1.0742906441717792</v>
      </c>
      <c r="AF63" s="203">
        <f>AF61/(3184*4)</f>
        <v>2.166546403894472</v>
      </c>
      <c r="AG63" s="203">
        <f>AG61/((6490-3184)*4)</f>
        <v>2.1290917271627348</v>
      </c>
      <c r="AH63" s="203">
        <f>AH61/((9895-6490)*4)</f>
        <v>2.1109066813509543</v>
      </c>
      <c r="AI63" s="203">
        <f>AI61/((13060-9895)*4)</f>
        <v>2.4219691943127968</v>
      </c>
      <c r="AJ63" s="203">
        <f>AJ61/(('Reported Group Highlights'!AJ42)*4)</f>
        <v>2.4632093619749922</v>
      </c>
      <c r="AK63" s="203">
        <f>AK61/(('Reported Group Highlights'!AK42)*4)</f>
        <v>2.3437471059661621</v>
      </c>
      <c r="AL63" s="203">
        <f>AL61/(('Reported Group Highlights'!AL42)*4)</f>
        <v>2.2628982592159161</v>
      </c>
      <c r="AM63" s="203">
        <v>2.5</v>
      </c>
      <c r="AN63" s="203">
        <v>2.7</v>
      </c>
      <c r="AO63" s="203">
        <v>2.8</v>
      </c>
      <c r="AP63" s="203">
        <f>AP61/(('Reported Group Highlights'!AP42)*4)</f>
        <v>2.6425518116936595</v>
      </c>
      <c r="AQ63" s="203">
        <f>AQ61/(('Reported Group Highlights'!AQ42)*4)</f>
        <v>2.5023881544841893</v>
      </c>
      <c r="AR63" s="203">
        <f>AR61/(('Reported Group Highlights'!AR42)*4)</f>
        <v>2.7231034747418366</v>
      </c>
      <c r="AS63" s="203">
        <v>2.67</v>
      </c>
      <c r="AT63" s="203">
        <f>AT61/(('Reported Group Highlights'!AT42)*4)</f>
        <v>2.5788450524006827</v>
      </c>
      <c r="AU63" s="203">
        <f>AU61/(('Reported Group Highlights'!AU42)*4)</f>
        <v>2.5997329297820824</v>
      </c>
      <c r="AW63" s="36" t="s">
        <v>333</v>
      </c>
    </row>
    <row r="64" spans="1:53" x14ac:dyDescent="0.25">
      <c r="A64" s="43" t="s">
        <v>108</v>
      </c>
      <c r="D64" s="116"/>
      <c r="E64" s="116"/>
      <c r="F64" s="116"/>
      <c r="G64" s="204">
        <f>G61/SUM('Reported Group Highlights'!D42:G42)</f>
        <v>1.9059937637140547</v>
      </c>
      <c r="H64" s="204">
        <f>H61/SUM('Reported Group Highlights'!E42:H42)</f>
        <v>2.2913412563667235</v>
      </c>
      <c r="I64" s="204">
        <f>I61/SUM('Reported Group Highlights'!F42:I42)</f>
        <v>2.4905789653991093</v>
      </c>
      <c r="J64" s="204">
        <f>J61/SUM('Reported Group Highlights'!G42:J42)</f>
        <v>2.4710965783019971</v>
      </c>
      <c r="K64" s="204">
        <f>K61/SUM('Reported Group Highlights'!H42:K42)</f>
        <v>1.9086164907804708</v>
      </c>
      <c r="L64" s="204">
        <f>L61/SUM('Reported Group Highlights'!I42:L42)</f>
        <v>2.0331365224725872</v>
      </c>
      <c r="M64" s="204">
        <f>M61/SUM('Reported Group Highlights'!J42:M42)</f>
        <v>2.067613498421947</v>
      </c>
      <c r="N64" s="204">
        <f>N61/SUM('Reported Group Highlights'!K42:N42)</f>
        <v>1.919980890959035</v>
      </c>
      <c r="O64" s="204">
        <f>O61/SUM('Reported Group Highlights'!L42:O42)</f>
        <v>1.9949958298582151</v>
      </c>
      <c r="P64" s="204">
        <f>P61/SUM('Reported Group Highlights'!M42:P42)</f>
        <v>1.8797657326596233</v>
      </c>
      <c r="Q64" s="204">
        <f>Q61/SUM('Reported Group Highlights'!N42:Q42)</f>
        <v>1.3304456856263536</v>
      </c>
      <c r="R64" s="204">
        <f>R61/SUM('Reported Group Highlights'!O42:R42)</f>
        <v>1.3806240504849832</v>
      </c>
      <c r="S64" s="204">
        <f>S61/SUM('Reported Group Highlights'!P42:S42)</f>
        <v>1.6471391336725829</v>
      </c>
      <c r="T64" s="204">
        <f>T61/SUM('Reported Group Highlights'!Q42:T42)</f>
        <v>1.6634253857124335</v>
      </c>
      <c r="U64" s="204">
        <f>U61/SUM('Reported Group Highlights'!R42:U42)</f>
        <v>1.6346328195829556</v>
      </c>
      <c r="V64" s="204">
        <f>V61/SUM('Reported Group Highlights'!S42:V42)</f>
        <v>1.505983545250561</v>
      </c>
      <c r="W64" s="204">
        <f>W61/SUM('Reported Group Highlights'!T42:W42)</f>
        <v>1.4777070063694266</v>
      </c>
      <c r="X64" s="204">
        <f>X61/SUM('Reported Group Highlights'!U42:X42)</f>
        <v>1.3638727982030974</v>
      </c>
      <c r="Y64" s="204">
        <f>Y61/SUM('Reported Group Highlights'!V42:Y42)</f>
        <v>1.3359170045313618</v>
      </c>
      <c r="Z64" s="204">
        <f>Z61/SUM('Reported Group Highlights'!W42:Z42)</f>
        <v>1.516362758121</v>
      </c>
      <c r="AA64" s="204">
        <f>AA61/SUM('Reported Group Highlights'!X42:AA42)</f>
        <v>1.3528720779983554</v>
      </c>
      <c r="AB64" s="204">
        <f>AB61/SUM('Reported Group Highlights'!Y42:AB42)</f>
        <v>1.3897342720872132</v>
      </c>
      <c r="AC64" s="204">
        <f>AC61/SUM('Reported Group Highlights'!Z42:AC42)</f>
        <v>1.2214077826883691</v>
      </c>
      <c r="AD64" s="204">
        <f>AD61/SUM('Reported Group Highlights'!AA42:AD42)</f>
        <v>1.2253579153362859</v>
      </c>
      <c r="AE64" s="204">
        <f>AE61/SUM('Reported Group Highlights'!AB42:AE42)</f>
        <v>1.1245233794902669</v>
      </c>
      <c r="AF64" s="204">
        <f>AF61/SUM('Reported Group Highlights'!AC42:AF42)</f>
        <v>2.5382333731947377</v>
      </c>
      <c r="AG64" s="204">
        <f>AG61/SUM('Reported Group Highlights'!AD42:AG42)</f>
        <v>2.405186143857851</v>
      </c>
      <c r="AH64" s="204">
        <f>AH61/SUM('Reported Group Highlights'!AE42:AH42)</f>
        <v>2.2994920419099416</v>
      </c>
      <c r="AI64" s="204">
        <f>AI61/SUM('Reported Group Highlights'!AF42:AI42)</f>
        <v>2.3477894333843801</v>
      </c>
      <c r="AJ64" s="204">
        <f>AJ61/SUM('Reported Group Highlights'!AG42:AJ42)</f>
        <v>2.3648326279338208</v>
      </c>
      <c r="AK64" s="204">
        <f>AK61/SUM('Reported Group Highlights'!AH42:AK42)</f>
        <v>2.4187728595497013</v>
      </c>
      <c r="AL64" s="204">
        <f>AL61/SUM('Reported Group Highlights'!AI42:AL42)</f>
        <v>2.3669455282686869</v>
      </c>
      <c r="AM64" s="204">
        <f>AM61/SUM('Reported Group Highlights'!AJ42:AM42)</f>
        <v>2.4824453224956726</v>
      </c>
      <c r="AN64" s="204">
        <f>AN61/SUM('Reported Group Highlights'!AK42:AN42)</f>
        <v>2.5762940338779794</v>
      </c>
      <c r="AO64" s="204">
        <f>AO61/SUM('Reported Group Highlights'!AL42:AO42)</f>
        <v>2.7974000591147563</v>
      </c>
      <c r="AP64" s="204">
        <f>AP61/SUM('Reported Group Highlights'!AM42:AP42)</f>
        <v>2.7988999127780207</v>
      </c>
      <c r="AQ64" s="204">
        <f>AQ61/SUM('Reported Group Highlights'!AN42:AQ42)</f>
        <v>2.7128102564102567</v>
      </c>
      <c r="AR64" s="204">
        <f>AR61/SUM('Reported Group Highlights'!AO42:AR42)</f>
        <v>2.6650859737776562</v>
      </c>
      <c r="AS64" s="204">
        <f>AS61/SUM('Reported Group Highlights'!AP42:AS42)</f>
        <v>2.700991684814888</v>
      </c>
      <c r="AT64" s="204">
        <f>AT61/SUM('Reported Group Highlights'!AQ42:AT42)</f>
        <v>2.7108182283994111</v>
      </c>
      <c r="AU64" s="204">
        <f>AU61/SUM('Reported Group Highlights'!AR42:AU42)</f>
        <v>2.7036567831287379</v>
      </c>
    </row>
    <row r="65" spans="1:53" x14ac:dyDescent="0.25">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row>
    <row r="66" spans="1:53" x14ac:dyDescent="0.25">
      <c r="D66" s="116"/>
      <c r="E66" s="116"/>
      <c r="F66" s="116"/>
      <c r="G66" s="116"/>
      <c r="H66" s="116"/>
      <c r="I66" s="116"/>
      <c r="J66" s="116"/>
      <c r="K66" s="116"/>
      <c r="L66" s="132"/>
      <c r="M66" s="132"/>
      <c r="N66" s="132"/>
      <c r="O66" s="132"/>
      <c r="P66" s="132"/>
      <c r="Q66" s="132"/>
      <c r="R66" s="132"/>
      <c r="S66" s="132"/>
      <c r="T66" s="132"/>
      <c r="U66" s="132"/>
      <c r="V66" s="132"/>
      <c r="W66" s="132"/>
      <c r="X66" s="132"/>
      <c r="Y66" s="132"/>
      <c r="Z66" s="132"/>
      <c r="AA66" s="132"/>
      <c r="AB66" s="132"/>
      <c r="AC66" s="132"/>
      <c r="AD66" s="132"/>
      <c r="AE66" s="250"/>
      <c r="AF66" s="250"/>
      <c r="AG66" s="250"/>
      <c r="AH66" s="250"/>
      <c r="AI66" s="250"/>
      <c r="AJ66" s="250"/>
      <c r="AK66" s="250"/>
      <c r="AL66" s="250"/>
      <c r="AM66" s="250"/>
      <c r="AN66" s="250"/>
      <c r="AO66" s="250"/>
      <c r="AP66" s="250"/>
      <c r="AQ66" s="250"/>
      <c r="AR66" s="250"/>
      <c r="AS66" s="250"/>
      <c r="AT66" s="250"/>
      <c r="AU66" s="250"/>
    </row>
    <row r="67" spans="1:53" x14ac:dyDescent="0.25">
      <c r="A67" s="43" t="s">
        <v>116</v>
      </c>
      <c r="D67" s="205">
        <f>('Reported Group Highlights'!D46*4)/SUM('Reported Group Balance Sheet'!D11+'Reported Group Balance Sheet'!D12)</f>
        <v>0.17110781340731659</v>
      </c>
      <c r="E67" s="205">
        <f>('Reported Group Highlights'!E46*4)/SUM('Reported Group Balance Sheet'!E11+'Reported Group Balance Sheet'!E12)</f>
        <v>0.1778519183882972</v>
      </c>
      <c r="F67" s="205">
        <f>('Reported Group Highlights'!F46*4)/SUM('Reported Group Balance Sheet'!F11+'Reported Group Balance Sheet'!F12)</f>
        <v>0.20202279659656447</v>
      </c>
      <c r="G67" s="205">
        <f>('Reported Group Highlights'!G46*4)/SUM('Reported Group Balance Sheet'!G11+'Reported Group Balance Sheet'!G12)</f>
        <v>0.18597609059079581</v>
      </c>
      <c r="H67" s="205">
        <f>('Reported Group Highlights'!H46*4)/SUM('Reported Group Balance Sheet'!H11+'Reported Group Balance Sheet'!H12)</f>
        <v>0.14970434113744532</v>
      </c>
      <c r="I67" s="205">
        <f>('Reported Group Highlights'!I46*4)/SUM('Reported Group Balance Sheet'!I11+'Reported Group Balance Sheet'!I12)</f>
        <v>0.16597913127881583</v>
      </c>
      <c r="J67" s="205">
        <f>('Reported Group Highlights'!J46*4)/SUM('Reported Group Balance Sheet'!J11+'Reported Group Balance Sheet'!J12)</f>
        <v>0.19113483174221355</v>
      </c>
      <c r="K67" s="205">
        <f>('Reported Group Highlights'!K46*4)/SUM('Reported Group Balance Sheet'!K11+'Reported Group Balance Sheet'!K12)</f>
        <v>0.16983197677185968</v>
      </c>
      <c r="L67" s="205">
        <f>('Reported Group Highlights'!L46*4)/SUM('Reported Group Balance Sheet'!L11+'Reported Group Balance Sheet'!L12)</f>
        <v>0.17567004242171599</v>
      </c>
      <c r="M67" s="205">
        <f>('Reported Group Highlights'!M46*4)/SUM('Reported Group Balance Sheet'!M11+'Reported Group Balance Sheet'!M12)</f>
        <v>0.17362921101990111</v>
      </c>
      <c r="N67" s="205">
        <f>('Reported Group Highlights'!N46*4)/SUM('Reported Group Balance Sheet'!N11+'Reported Group Balance Sheet'!N12)</f>
        <v>0.16762645526387954</v>
      </c>
      <c r="O67" s="205">
        <f>('Reported Group Highlights'!O46*4)/SUM('Reported Group Balance Sheet'!O11+'Reported Group Balance Sheet'!O12)</f>
        <v>0.18926873443513698</v>
      </c>
      <c r="P67" s="253">
        <f>('Reported Group Highlights'!P46*4)/SUM('Reported Group Balance Sheet'!P11+'Reported Group Balance Sheet'!P12)</f>
        <v>0.19341499974156201</v>
      </c>
      <c r="Q67" s="253">
        <f>('Reported Group Highlights'!Q46*4)/SUM('Reported Group Balance Sheet'!Q11+'Reported Group Balance Sheet'!Q12)</f>
        <v>0.21333061141165663</v>
      </c>
      <c r="R67" s="253">
        <f>('Reported Group Highlights'!R46*4)/SUM('Reported Group Balance Sheet'!R11+'Reported Group Balance Sheet'!R12)</f>
        <v>0.18679950186799502</v>
      </c>
      <c r="S67" s="253">
        <f>('Reported Group Highlights'!S46*4)/SUM('Reported Group Balance Sheet'!S11+'Reported Group Balance Sheet'!S12)</f>
        <v>0.23262324705403273</v>
      </c>
      <c r="T67" s="253">
        <f>('Reported Group Highlights'!T46*4)/SUM('Reported Group Balance Sheet'!T11+'Reported Group Balance Sheet'!T12)</f>
        <v>0.17404825459351594</v>
      </c>
      <c r="U67" s="253">
        <f>('Reported Group Highlights'!U46*4)/SUM('Reported Group Balance Sheet'!U11+'Reported Group Balance Sheet'!U12)</f>
        <v>0.17225413050628749</v>
      </c>
      <c r="V67" s="253">
        <f>('Reported Group Highlights'!V46*4)/SUM('Reported Group Balance Sheet'!V11+'Reported Group Balance Sheet'!V12)</f>
        <v>0.17242251099762351</v>
      </c>
      <c r="W67" s="253">
        <f>('Reported Group Highlights'!W46*4)/SUM('Reported Group Balance Sheet'!W11+'Reported Group Balance Sheet'!W12)</f>
        <v>0.18262380964038288</v>
      </c>
      <c r="X67" s="211">
        <f>('Reported Group Highlights'!X46*4)/SUM('Reported Group Balance Sheet'!X11+'Reported Group Balance Sheet'!X12)</f>
        <v>0.18014768600882217</v>
      </c>
      <c r="Y67" s="211">
        <f>('Reported Group Highlights'!Y46*4)/SUM('Reported Group Balance Sheet'!Y11+'Reported Group Balance Sheet'!Y12)</f>
        <v>0.17717889908256881</v>
      </c>
      <c r="Z67" s="211">
        <f>('Reported Group Highlights'!Z46*4)/SUM('Reported Group Balance Sheet'!Z11+'Reported Group Balance Sheet'!Z12)</f>
        <v>0.17686261892724181</v>
      </c>
      <c r="AA67" s="211">
        <f>('Reported Group Highlights'!AA46*4)/SUM('Reported Group Balance Sheet'!AA11+'Reported Group Balance Sheet'!AA12)</f>
        <v>0.56387706633432877</v>
      </c>
      <c r="AB67" s="211">
        <f>('Reported Group Highlights'!AB46*4)/SUM('Reported Group Balance Sheet'!AB11+'Reported Group Balance Sheet'!AB12)</f>
        <v>0.16562236977461892</v>
      </c>
      <c r="AC67" s="211">
        <f>('Reported Group Highlights'!AC46*4)/SUM('Reported Group Balance Sheet'!AC11+'Reported Group Balance Sheet'!AC12)</f>
        <v>0.16057262697182456</v>
      </c>
      <c r="AD67" s="211">
        <f>('Reported Group Highlights'!AD46*4)/SUM('Reported Group Balance Sheet'!AD11+'Reported Group Balance Sheet'!AD12)</f>
        <v>0.16316418559165491</v>
      </c>
      <c r="AE67" s="211">
        <f>('Reported Group Highlights'!AE46*4)/SUM('Reported Group Balance Sheet'!AE11+'Reported Group Balance Sheet'!AE12)</f>
        <v>0.16345992973063408</v>
      </c>
      <c r="AF67" s="211">
        <f>('Reported Group Highlights'!AF46*4)/SUM('Reported Group Balance Sheet'!AF11+'Reported Group Balance Sheet'!AF12)</f>
        <v>0.188363590130323</v>
      </c>
      <c r="AG67" s="211">
        <f>('Reported Group Highlights'!AG46*4)/SUM('Reported Group Balance Sheet'!AG11+'Reported Group Balance Sheet'!AG12)</f>
        <v>0.18246097326604455</v>
      </c>
      <c r="AH67" s="211">
        <f>('Reported Group Highlights'!AH46*4)/SUM('Reported Group Balance Sheet'!AH11+'Reported Group Balance Sheet'!AH12)</f>
        <v>0.16762568682780143</v>
      </c>
      <c r="AI67" s="211">
        <f>('Reported Group Highlights'!AI46*4)/SUM('Reported Group Balance Sheet'!AI11+'Reported Group Balance Sheet'!AI12)</f>
        <v>0.37923710495323304</v>
      </c>
      <c r="AJ67" s="211">
        <f>('Reported Group Highlights'!AJ46*4)/SUM('Reported Group Balance Sheet'!AJ11+'Reported Group Balance Sheet'!AJ12)</f>
        <v>0.18329037511124577</v>
      </c>
      <c r="AK67" s="211">
        <f>('Reported Group Highlights'!AK46*4)/SUM('Reported Group Balance Sheet'!AK11+'Reported Group Balance Sheet'!AK12)</f>
        <v>0.18347835473026081</v>
      </c>
      <c r="AL67" s="211">
        <f>('Reported Group Highlights'!AL46*4)/SUM('Reported Group Balance Sheet'!AL11+'Reported Group Balance Sheet'!AL12)</f>
        <v>0.18244145561029601</v>
      </c>
      <c r="AM67" s="211">
        <f>('Reported Group Highlights'!AM46*4)/SUM('Reported Group Balance Sheet'!AM11+'Reported Group Balance Sheet'!AM12)</f>
        <v>0.17607885719704028</v>
      </c>
      <c r="AN67" s="211">
        <f>('Reported Group Highlights'!AN46*4)/SUM('Reported Group Balance Sheet'!AN11+'Reported Group Balance Sheet'!AN12)</f>
        <v>0.17562700975766382</v>
      </c>
      <c r="AO67" s="211">
        <f>('Reported Group Highlights'!AO46*4)/SUM('Reported Group Balance Sheet'!AO11+'Reported Group Balance Sheet'!AO12)</f>
        <v>0.16904470842050759</v>
      </c>
      <c r="AP67" s="125">
        <f>('Reported Group Highlights'!AP46*4)/SUM('Reported Group Balance Sheet'!AP11+'Reported Group Balance Sheet'!AP12)</f>
        <v>0.16603108948174827</v>
      </c>
      <c r="AQ67" s="125">
        <f>('Reported Group Highlights'!AQ46*4)/SUM('Reported Group Balance Sheet'!AQ11+'Reported Group Balance Sheet'!AQ12)</f>
        <v>0.17452369763710679</v>
      </c>
      <c r="AR67" s="211">
        <f>('Reported Group Highlights'!AR46*4)/SUM('Reported Group Balance Sheet'!AR11+'Reported Group Balance Sheet'!AR12)</f>
        <v>0.1654177742870952</v>
      </c>
      <c r="AS67" s="211">
        <f>('Reported Group Highlights'!AS46*4)/SUM('Reported Group Balance Sheet'!AS11+'Reported Group Balance Sheet'!AS12)</f>
        <v>0.1674028926804669</v>
      </c>
      <c r="AT67" s="125">
        <f>('Reported Group Highlights'!AT46*4)/SUM('Reported Group Balance Sheet'!AT11+'Reported Group Balance Sheet'!AT12)</f>
        <v>0.16940564712514378</v>
      </c>
      <c r="AU67" s="125">
        <f>('Reported Group Highlights'!AU46*4)/SUM('Reported Group Balance Sheet'!AU11+'Reported Group Balance Sheet'!AU12)</f>
        <v>0.16051764790173587</v>
      </c>
    </row>
    <row r="68" spans="1:53" x14ac:dyDescent="0.25">
      <c r="A68" s="43" t="s">
        <v>117</v>
      </c>
      <c r="D68" s="116"/>
      <c r="E68" s="116"/>
      <c r="F68" s="116"/>
      <c r="G68" s="206">
        <f>(G11+G12)/SUM('Reported Group Highlights'!D46:G46)</f>
        <v>5.5049487758291367</v>
      </c>
      <c r="H68" s="206">
        <f>(H11+H12)/SUM('Reported Group Highlights'!E46:H46)</f>
        <v>6.9452420701168611</v>
      </c>
      <c r="I68" s="206">
        <f>(I11+I12)/SUM('Reported Group Highlights'!F46:I46)</f>
        <v>6.5267659170098193</v>
      </c>
      <c r="J68" s="206">
        <f>(J11+J12)/SUM('Reported Group Highlights'!G46:J46)</f>
        <v>6.003158844765343</v>
      </c>
      <c r="K68" s="206">
        <f>(K11+K12)/SUM('Reported Group Highlights'!H46:K46)</f>
        <v>6.0388042540960045</v>
      </c>
      <c r="L68" s="206">
        <f>(L11+L12)/SUM('Reported Group Highlights'!I46:L46)</f>
        <v>5.6703281423804226</v>
      </c>
      <c r="M68" s="206">
        <f>(M11+M12)/SUM('Reported Group Highlights'!J46:M46)</f>
        <v>5.6515693832599121</v>
      </c>
      <c r="N68" s="206">
        <f>(N11+N12)/SUM('Reported Group Highlights'!K46:N46)</f>
        <v>5.6994884910485935</v>
      </c>
      <c r="O68" s="206">
        <f>(O11+O12)/SUM('Reported Group Highlights'!L46:O46)</f>
        <v>5.5715487035739315</v>
      </c>
      <c r="P68" s="206">
        <f>(P11+P12)/SUM('Reported Group Highlights'!M46:P46)</f>
        <v>5.3629937629937627</v>
      </c>
      <c r="Q68" s="206">
        <f>(Q11+Q12)/SUM('Reported Group Highlights'!N46:Q46)</f>
        <v>5.2090921175063141</v>
      </c>
      <c r="R68" s="206">
        <f>(R11+R12)/SUM('Reported Group Highlights'!O46:R46)</f>
        <v>5.0437058361685425</v>
      </c>
      <c r="S68" s="206">
        <f>(S11+S12)/SUM('Reported Group Highlights'!P46:S46)</f>
        <v>4.8832960477255778</v>
      </c>
      <c r="T68" s="206">
        <f>(T11+T12)/SUM('Reported Group Highlights'!Q46:T46)</f>
        <v>4.9130379424497068</v>
      </c>
      <c r="U68" s="206">
        <f>(U11+U12)/SUM('Reported Group Highlights'!R46:U46)</f>
        <v>5.2937315831770695</v>
      </c>
      <c r="V68" s="206">
        <f>(V11+V12)/SUM('Reported Group Highlights'!S46:V46)</f>
        <v>5.3661646994980332</v>
      </c>
      <c r="W68" s="206">
        <f>(W11+W12)/SUM('Reported Group Highlights'!T46:W46)</f>
        <v>5.8767083872824051</v>
      </c>
      <c r="X68" s="207">
        <f>(X11+X12)/SUM('Reported Group Highlights'!U46:X46)</f>
        <v>5.7630617977528091</v>
      </c>
      <c r="Y68" s="207">
        <f>(Y11+Y12)/SUM('Reported Group Highlights'!V46:Y46)</f>
        <v>5.7557755775577562</v>
      </c>
      <c r="Z68" s="207">
        <f>(Z11+Z12)/SUM('Reported Group Highlights'!W46:Z46)</f>
        <v>5.8088372713923375</v>
      </c>
      <c r="AA68" s="207">
        <f>(AA11+AA12)/SUM('Reported Group Highlights'!X46:AA46)</f>
        <v>3.6594957404698389</v>
      </c>
      <c r="AB68" s="207">
        <f>(AB11+AB12)/SUM('Reported Group Highlights'!Y46:AB46)</f>
        <v>3.7051282051282053</v>
      </c>
      <c r="AC68" s="207">
        <f>(AC11+AC12)/SUM('Reported Group Highlights'!Z46:AC46)</f>
        <v>3.8309317963496636</v>
      </c>
      <c r="AD68" s="207">
        <f>(AD11+AD12)/SUM('Reported Group Highlights'!AA46:AD46)</f>
        <v>4.0349877236057523</v>
      </c>
      <c r="AE68" s="207">
        <f>(AE11+AE12)/SUM('Reported Group Highlights'!AB46:AE46)</f>
        <v>6.4940920820317807</v>
      </c>
      <c r="AF68" s="207">
        <f>(AF11+AF12)/SUM('Reported Group Highlights'!AC46:AF46)</f>
        <v>6.7451701583921313</v>
      </c>
      <c r="AG68" s="207">
        <f>(AG11+AG12)/SUM('Reported Group Highlights'!AD46:AG46)</f>
        <v>6.1286240464626829</v>
      </c>
      <c r="AH68" s="207">
        <f>(AH11+AH12)/SUM('Reported Group Highlights'!AE46:AH46)</f>
        <v>5.9473356835157665</v>
      </c>
      <c r="AI68" s="207">
        <f>(AI11+AI12)/SUM('Reported Group Highlights'!AF46:AI46)</f>
        <v>4.2456845165450954</v>
      </c>
      <c r="AJ68" s="207">
        <f>(AJ11+AJ12)/SUM('Reported Group Highlights'!AG46:AJ46)</f>
        <v>4.3035194152604905</v>
      </c>
      <c r="AK68" s="207">
        <f>(AK11+AK12)/SUM('Reported Group Highlights'!AH46:AK46)</f>
        <v>4.4395501314186028</v>
      </c>
      <c r="AL68" s="207">
        <f>(AL11+AL12)/SUM('Reported Group Highlights'!AI46:AL46)</f>
        <v>4.4087377211756777</v>
      </c>
      <c r="AM68" s="207">
        <f>(AM11+AM12)/SUM('Reported Group Highlights'!AJ46:AM46)</f>
        <v>5.7878121903006017</v>
      </c>
      <c r="AN68" s="207">
        <f>(AN11+AN12)/SUM('Reported Group Highlights'!AK46:AN46)</f>
        <v>5.7763912158640291</v>
      </c>
      <c r="AO68" s="207">
        <f>(AO11+AO12)/SUM('Reported Group Highlights'!AL46:AO46)</f>
        <v>5.9211792388685129</v>
      </c>
      <c r="AP68" s="207">
        <f>(AP11+AP12)/SUM('Reported Group Highlights'!AM46:AP46)</f>
        <v>6.0867623743754313</v>
      </c>
      <c r="AQ68" s="207">
        <f>(AQ11+AQ12)/SUM('Reported Group Highlights'!AN46:AQ46)</f>
        <v>6.2639771736801002</v>
      </c>
      <c r="AR68" s="207">
        <f>(AR11+AR12)/SUM('Reported Group Highlights'!AO46:AR46)</f>
        <v>6.1638010006866875</v>
      </c>
      <c r="AS68" s="207">
        <f>(AS11+AS12)/SUM('Reported Group Highlights'!AP46:AS46)</f>
        <v>6.1277208255167643</v>
      </c>
      <c r="AT68" s="207">
        <f>(AT11+AT12)/SUM('Reported Group Highlights'!AQ46:AT46)</f>
        <v>6.1175754477514115</v>
      </c>
      <c r="AU68" s="207">
        <f>(AU11+AU12)/SUM('Reported Group Highlights'!AR46:AU46)</f>
        <v>6.1989637071922044</v>
      </c>
    </row>
    <row r="69" spans="1:53" x14ac:dyDescent="0.25">
      <c r="D69" s="116"/>
      <c r="E69" s="116"/>
      <c r="F69" s="116"/>
      <c r="G69" s="116"/>
      <c r="H69" s="116"/>
      <c r="I69" s="116"/>
      <c r="J69" s="116"/>
      <c r="K69" s="116"/>
      <c r="L69" s="116"/>
      <c r="M69" s="116"/>
      <c r="N69" s="116"/>
      <c r="O69" s="116"/>
      <c r="P69" s="132"/>
      <c r="Q69" s="132"/>
      <c r="R69" s="132"/>
      <c r="S69" s="132"/>
      <c r="T69" s="132"/>
      <c r="U69" s="132"/>
      <c r="V69" s="132"/>
      <c r="W69" s="132"/>
      <c r="X69" s="132"/>
      <c r="Y69" s="132"/>
      <c r="Z69" s="132"/>
      <c r="AA69" s="132"/>
      <c r="AB69" s="132"/>
      <c r="AC69" s="132"/>
      <c r="AD69" s="132"/>
      <c r="AE69" s="132"/>
      <c r="AF69" s="132"/>
      <c r="AG69" s="132"/>
      <c r="AH69" s="132"/>
      <c r="AI69" s="132"/>
      <c r="AJ69" s="132"/>
      <c r="AK69" s="132"/>
      <c r="AL69" s="132"/>
      <c r="AM69" s="132"/>
      <c r="AN69" s="132"/>
      <c r="AO69" s="116"/>
      <c r="AP69" s="116"/>
      <c r="AQ69" s="116"/>
      <c r="AR69" s="132"/>
      <c r="AS69" s="132"/>
      <c r="AT69" s="116"/>
      <c r="AU69" s="116"/>
    </row>
    <row r="70" spans="1:53" x14ac:dyDescent="0.25">
      <c r="A70" s="112" t="s">
        <v>110</v>
      </c>
      <c r="B70" s="198"/>
      <c r="C70" s="198"/>
      <c r="D70" s="199"/>
      <c r="E70" s="113"/>
      <c r="F70" s="199"/>
      <c r="G70" s="113"/>
      <c r="H70" s="199"/>
      <c r="I70" s="113"/>
      <c r="J70" s="199"/>
      <c r="K70" s="113"/>
      <c r="L70" s="199"/>
      <c r="M70" s="113"/>
      <c r="N70" s="199"/>
      <c r="O70" s="113"/>
      <c r="P70" s="199"/>
      <c r="Q70" s="113"/>
      <c r="R70" s="199"/>
      <c r="S70" s="199"/>
      <c r="T70" s="199"/>
      <c r="U70" s="199"/>
      <c r="V70" s="199"/>
      <c r="W70" s="199"/>
      <c r="X70" s="199"/>
      <c r="Y70" s="199"/>
      <c r="Z70" s="199"/>
      <c r="AA70" s="199"/>
      <c r="AB70" s="199"/>
      <c r="AC70" s="199"/>
      <c r="AD70" s="199"/>
      <c r="AE70" s="199"/>
      <c r="AF70" s="199"/>
      <c r="AG70" s="199"/>
      <c r="AH70" s="199"/>
      <c r="AI70" s="199"/>
      <c r="AJ70" s="199"/>
      <c r="AK70" s="232"/>
      <c r="AL70" s="199"/>
      <c r="AM70" s="199"/>
      <c r="AN70" s="232"/>
      <c r="AO70" s="232"/>
      <c r="AP70" s="199"/>
      <c r="AQ70" s="199"/>
      <c r="AR70" s="232"/>
      <c r="AS70" s="232"/>
      <c r="AT70" s="199"/>
      <c r="AU70" s="199"/>
      <c r="AV70" s="112"/>
      <c r="AW70" s="198"/>
      <c r="AX70" s="198"/>
      <c r="AY70" s="200"/>
      <c r="AZ70" s="114"/>
      <c r="BA70" s="200"/>
    </row>
    <row r="71" spans="1:53" x14ac:dyDescent="0.25">
      <c r="A71" s="208"/>
      <c r="B71" s="173"/>
      <c r="C71" s="173"/>
      <c r="D71" s="42"/>
      <c r="E71" s="42"/>
      <c r="F71" s="42"/>
      <c r="G71" s="42"/>
      <c r="H71" s="42"/>
      <c r="I71" s="42"/>
      <c r="J71" s="42"/>
      <c r="K71" s="42"/>
      <c r="L71" s="42"/>
      <c r="M71" s="42"/>
      <c r="N71" s="42"/>
      <c r="O71" s="42"/>
      <c r="P71" s="233"/>
      <c r="Q71" s="233"/>
      <c r="R71" s="233"/>
      <c r="S71" s="233"/>
      <c r="T71" s="233"/>
      <c r="U71" s="233"/>
      <c r="V71" s="233"/>
      <c r="W71" s="233"/>
      <c r="X71" s="233"/>
      <c r="Y71" s="233"/>
      <c r="Z71" s="233"/>
      <c r="AA71" s="233"/>
      <c r="AB71" s="233"/>
      <c r="AC71" s="233"/>
      <c r="AD71" s="233"/>
      <c r="AE71" s="233"/>
      <c r="AF71" s="233"/>
      <c r="AG71" s="233"/>
      <c r="AH71" s="233"/>
      <c r="AI71" s="233"/>
      <c r="AJ71" s="233"/>
      <c r="AK71" s="233"/>
      <c r="AL71" s="233"/>
      <c r="AM71" s="233"/>
      <c r="AN71" s="233"/>
      <c r="AO71" s="42"/>
      <c r="AP71" s="42"/>
      <c r="AQ71" s="42"/>
      <c r="AR71" s="233"/>
      <c r="AS71" s="233"/>
      <c r="AT71" s="42"/>
      <c r="AU71" s="42"/>
      <c r="AV71" s="209"/>
      <c r="AW71" s="36"/>
    </row>
    <row r="72" spans="1:53" x14ac:dyDescent="0.25">
      <c r="A72" s="97" t="s">
        <v>167</v>
      </c>
      <c r="B72" s="210"/>
      <c r="C72" s="210"/>
      <c r="D72" s="98"/>
      <c r="E72" s="98"/>
      <c r="F72" s="98"/>
      <c r="G72" s="98"/>
      <c r="H72" s="211">
        <f>H42/D42-1</f>
        <v>0.29495268138801256</v>
      </c>
      <c r="I72" s="211">
        <f t="shared" ref="I72:W72" si="134">I42/E42-1</f>
        <v>0.3971392511569205</v>
      </c>
      <c r="J72" s="211">
        <f t="shared" si="134"/>
        <v>-0.36084529505582141</v>
      </c>
      <c r="K72" s="211">
        <f t="shared" si="134"/>
        <v>0.94674556213017746</v>
      </c>
      <c r="L72" s="211">
        <f t="shared" si="134"/>
        <v>-7.7953714981729649E-2</v>
      </c>
      <c r="M72" s="211">
        <f t="shared" si="134"/>
        <v>-0.39235170129479069</v>
      </c>
      <c r="N72" s="211">
        <f t="shared" si="134"/>
        <v>1.017467248908297</v>
      </c>
      <c r="O72" s="211">
        <f t="shared" si="134"/>
        <v>-0.62512664640324211</v>
      </c>
      <c r="P72" s="211">
        <f t="shared" si="134"/>
        <v>0.28335535006605017</v>
      </c>
      <c r="Q72" s="211">
        <f t="shared" si="134"/>
        <v>0.25173439048562929</v>
      </c>
      <c r="R72" s="211">
        <f t="shared" si="134"/>
        <v>-0.16573902288188003</v>
      </c>
      <c r="S72" s="211">
        <f t="shared" si="134"/>
        <v>-0.80405405405405406</v>
      </c>
      <c r="T72" s="211">
        <f t="shared" si="134"/>
        <v>0.25270200720535252</v>
      </c>
      <c r="U72" s="211">
        <f t="shared" si="134"/>
        <v>0.16072842438638157</v>
      </c>
      <c r="V72" s="211">
        <f t="shared" si="134"/>
        <v>-5.1890289103039278E-2</v>
      </c>
      <c r="W72" s="211">
        <f t="shared" si="134"/>
        <v>10.641379310344828</v>
      </c>
      <c r="X72" s="211">
        <f t="shared" ref="X72:AI73" si="135">X42/T42-1</f>
        <v>-3.6976170912078832E-2</v>
      </c>
      <c r="Y72" s="211">
        <f t="shared" si="135"/>
        <v>-0.34890859481582537</v>
      </c>
      <c r="Z72" s="211">
        <f t="shared" si="135"/>
        <v>-0.69390148553557474</v>
      </c>
      <c r="AA72" s="211">
        <f t="shared" si="135"/>
        <v>1.56042654028436</v>
      </c>
      <c r="AB72" s="211">
        <f t="shared" si="135"/>
        <v>0.31143344709897613</v>
      </c>
      <c r="AC72" s="211">
        <f t="shared" si="135"/>
        <v>1.0057621791513882</v>
      </c>
      <c r="AD72" s="211">
        <f t="shared" si="135"/>
        <v>1.5862068965517242</v>
      </c>
      <c r="AE72" s="211">
        <f t="shared" si="135"/>
        <v>-0.20661730680240631</v>
      </c>
      <c r="AF72" s="211">
        <f t="shared" si="135"/>
        <v>0.54815679895901104</v>
      </c>
      <c r="AG72" s="211">
        <f t="shared" si="135"/>
        <v>0.15616740663358586</v>
      </c>
      <c r="AH72" s="211">
        <f t="shared" si="135"/>
        <v>0.83419407407407431</v>
      </c>
      <c r="AI72" s="211">
        <f t="shared" si="135"/>
        <v>-0.69400904053659951</v>
      </c>
      <c r="AJ72" s="211">
        <f t="shared" ref="AJ72:AU73" si="136">AJ42/AF42-1</f>
        <v>-0.4452655728032201</v>
      </c>
      <c r="AK72" s="211">
        <f t="shared" si="136"/>
        <v>-0.19487639951976132</v>
      </c>
      <c r="AL72" s="211">
        <f t="shared" si="136"/>
        <v>0.11115616291125807</v>
      </c>
      <c r="AM72" s="211">
        <f t="shared" si="136"/>
        <v>0.55531082885470662</v>
      </c>
      <c r="AN72" s="211">
        <f>AN42/AJ42-1</f>
        <v>0.38976439393939399</v>
      </c>
      <c r="AO72" s="211">
        <f>AO42/AK42-1</f>
        <v>0.20691510762139842</v>
      </c>
      <c r="AP72" s="211">
        <f t="shared" si="136"/>
        <v>-5.6673880764817497E-2</v>
      </c>
      <c r="AQ72" s="211">
        <f t="shared" si="136"/>
        <v>0.37297712664815785</v>
      </c>
      <c r="AR72" s="211">
        <f>AR42/AN42-1</f>
        <v>0.15978346013522016</v>
      </c>
      <c r="AS72" s="211">
        <f>AS42/AO42-1</f>
        <v>4.7756356014944545E-2</v>
      </c>
      <c r="AT72" s="211">
        <f t="shared" si="136"/>
        <v>0.27053032141898559</v>
      </c>
      <c r="AU72" s="211">
        <f t="shared" si="136"/>
        <v>6.5222533652300463E-2</v>
      </c>
      <c r="AW72" s="36"/>
    </row>
    <row r="73" spans="1:53" x14ac:dyDescent="0.25">
      <c r="A73" s="97" t="s">
        <v>112</v>
      </c>
      <c r="B73" s="210"/>
      <c r="C73" s="210"/>
      <c r="D73" s="98"/>
      <c r="E73" s="98"/>
      <c r="F73" s="98"/>
      <c r="G73" s="98"/>
      <c r="H73" s="211">
        <f>H43/D43-1</f>
        <v>3.5924574209245739</v>
      </c>
      <c r="I73" s="211">
        <f t="shared" ref="I73:W73" si="137">I43/E43-1</f>
        <v>0.11536548980606653</v>
      </c>
      <c r="J73" s="211">
        <f t="shared" si="137"/>
        <v>-0.1713411524732279</v>
      </c>
      <c r="K73" s="211">
        <f t="shared" si="137"/>
        <v>-3.7589112119248203E-2</v>
      </c>
      <c r="L73" s="211">
        <f t="shared" si="137"/>
        <v>-0.91938189845474616</v>
      </c>
      <c r="M73" s="211">
        <f t="shared" si="137"/>
        <v>-0.28845296477931337</v>
      </c>
      <c r="N73" s="211">
        <f t="shared" si="137"/>
        <v>-0.50646153846153852</v>
      </c>
      <c r="O73" s="211">
        <f t="shared" si="137"/>
        <v>-0.12861952861952863</v>
      </c>
      <c r="P73" s="211">
        <f t="shared" si="137"/>
        <v>0.37458926615553123</v>
      </c>
      <c r="Q73" s="211">
        <f t="shared" si="137"/>
        <v>-1.6152882205513786</v>
      </c>
      <c r="R73" s="211">
        <f t="shared" si="137"/>
        <v>2.0635910224438905</v>
      </c>
      <c r="S73" s="211">
        <f t="shared" si="137"/>
        <v>-0.13523956723338482</v>
      </c>
      <c r="T73" s="211">
        <f t="shared" si="137"/>
        <v>-1.2749003984063756E-2</v>
      </c>
      <c r="U73" s="211">
        <f t="shared" si="137"/>
        <v>-3.3798370672097762</v>
      </c>
      <c r="V73" s="211">
        <f t="shared" si="137"/>
        <v>-0.33251933251933252</v>
      </c>
      <c r="W73" s="211">
        <f t="shared" si="137"/>
        <v>0.26809651474530827</v>
      </c>
      <c r="X73" s="211">
        <f t="shared" si="135"/>
        <v>-0.26150121065375298</v>
      </c>
      <c r="Y73" s="211">
        <f t="shared" si="135"/>
        <v>-0.54728284124946514</v>
      </c>
      <c r="Z73" s="211">
        <f t="shared" si="135"/>
        <v>2.6219512195121863E-2</v>
      </c>
      <c r="AA73" s="211">
        <f t="shared" si="135"/>
        <v>0.79492600422832971</v>
      </c>
      <c r="AB73" s="211">
        <f t="shared" si="135"/>
        <v>1.6928961748633879</v>
      </c>
      <c r="AC73" s="211">
        <f t="shared" si="135"/>
        <v>0.99338374291115317</v>
      </c>
      <c r="AD73" s="211">
        <f t="shared" si="135"/>
        <v>9.9227569815805161E-2</v>
      </c>
      <c r="AE73" s="211">
        <f t="shared" si="135"/>
        <v>-0.10914801727522572</v>
      </c>
      <c r="AF73" s="211">
        <f t="shared" si="135"/>
        <v>-0.62845941558441565</v>
      </c>
      <c r="AG73" s="211">
        <f t="shared" si="135"/>
        <v>-0.29936178283546722</v>
      </c>
      <c r="AH73" s="211">
        <f t="shared" si="135"/>
        <v>-0.18501243243243226</v>
      </c>
      <c r="AI73" s="211">
        <f t="shared" si="135"/>
        <v>-0.29612252093433211</v>
      </c>
      <c r="AJ73" s="211">
        <f t="shared" si="136"/>
        <v>0.84603419423338244</v>
      </c>
      <c r="AK73" s="211">
        <f t="shared" si="136"/>
        <v>0.43073780864970379</v>
      </c>
      <c r="AL73" s="211">
        <f t="shared" si="136"/>
        <v>4.1872301815912394E-2</v>
      </c>
      <c r="AM73" s="211">
        <f t="shared" si="136"/>
        <v>-2.5745445802324518E-2</v>
      </c>
      <c r="AN73" s="211">
        <f t="shared" si="136"/>
        <v>0.45979763313609467</v>
      </c>
      <c r="AO73" s="211">
        <f t="shared" si="136"/>
        <v>1.310052295891821</v>
      </c>
      <c r="AP73" s="211">
        <f t="shared" si="136"/>
        <v>0.2322671862974337</v>
      </c>
      <c r="AQ73" s="211">
        <f t="shared" si="136"/>
        <v>0.41965256622835745</v>
      </c>
      <c r="AR73" s="211">
        <f t="shared" si="136"/>
        <v>-6.0115732990468906E-2</v>
      </c>
      <c r="AS73" s="211">
        <f t="shared" si="136"/>
        <v>-0.41831552354272972</v>
      </c>
      <c r="AT73" s="211">
        <f t="shared" si="136"/>
        <v>0.47436713405568365</v>
      </c>
      <c r="AU73" s="211">
        <f t="shared" si="136"/>
        <v>6.9782896949728945E-2</v>
      </c>
      <c r="AW73" s="36"/>
    </row>
    <row r="74" spans="1:53" x14ac:dyDescent="0.25">
      <c r="A74" s="212"/>
      <c r="B74" s="213"/>
      <c r="C74" s="213"/>
      <c r="D74" s="214"/>
      <c r="E74" s="214"/>
      <c r="F74" s="214"/>
      <c r="G74" s="214"/>
      <c r="H74" s="214"/>
      <c r="I74" s="214"/>
      <c r="J74" s="214"/>
      <c r="K74" s="214"/>
      <c r="L74" s="214"/>
      <c r="M74" s="214"/>
      <c r="N74" s="214"/>
      <c r="O74" s="214"/>
      <c r="P74" s="214"/>
      <c r="Q74" s="214"/>
      <c r="R74" s="214"/>
      <c r="S74" s="214"/>
      <c r="T74" s="214"/>
      <c r="U74" s="214"/>
      <c r="V74" s="214"/>
      <c r="W74" s="214"/>
      <c r="X74" s="214"/>
      <c r="Y74" s="214"/>
      <c r="Z74" s="214"/>
      <c r="AA74" s="214"/>
      <c r="AB74" s="214"/>
      <c r="AC74" s="214"/>
      <c r="AD74" s="214"/>
      <c r="AE74" s="214"/>
      <c r="AF74" s="214"/>
      <c r="AG74" s="214"/>
      <c r="AH74" s="214"/>
      <c r="AI74" s="214"/>
      <c r="AJ74" s="214"/>
      <c r="AK74" s="214"/>
      <c r="AL74" s="214"/>
      <c r="AM74" s="214"/>
      <c r="AN74" s="214"/>
      <c r="AO74" s="214"/>
      <c r="AP74" s="214"/>
      <c r="AQ74" s="214"/>
      <c r="AR74" s="214"/>
      <c r="AS74" s="214"/>
      <c r="AT74" s="214"/>
      <c r="AU74" s="214"/>
      <c r="AW74" s="36"/>
    </row>
    <row r="75" spans="1:53" x14ac:dyDescent="0.25">
      <c r="A75" s="106" t="s">
        <v>114</v>
      </c>
      <c r="B75" s="215"/>
      <c r="C75" s="215"/>
      <c r="D75" s="216">
        <f>'Reported Group Balance Sheet'!D54/'Reported Group Highlights'!D13</f>
        <v>0.38833477883781442</v>
      </c>
      <c r="E75" s="216">
        <f>'Reported Group Balance Sheet'!E54/'Reported Group Highlights'!E13</f>
        <v>0.31832076625229266</v>
      </c>
      <c r="F75" s="216">
        <f>'Reported Group Balance Sheet'!F54/'Reported Group Highlights'!F13</f>
        <v>0.29645254074784277</v>
      </c>
      <c r="G75" s="216">
        <f>'Reported Group Balance Sheet'!G54/'Reported Group Highlights'!G13</f>
        <v>0.38961287849750864</v>
      </c>
      <c r="H75" s="216">
        <f>'Reported Group Balance Sheet'!H54/'Reported Group Highlights'!H13</f>
        <v>0.41163996229971722</v>
      </c>
      <c r="I75" s="216">
        <f>'Reported Group Balance Sheet'!I54/'Reported Group Highlights'!I13</f>
        <v>0.26854115729421352</v>
      </c>
      <c r="J75" s="216">
        <f>'Reported Group Balance Sheet'!J54/'Reported Group Highlights'!J13</f>
        <v>0.26392004894962268</v>
      </c>
      <c r="K75" s="216">
        <f>'Reported Group Balance Sheet'!K54/'Reported Group Highlights'!K13</f>
        <v>0.28642077065732535</v>
      </c>
      <c r="L75" s="216">
        <f>'Reported Group Balance Sheet'!L54/'Reported Group Highlights'!L13</f>
        <v>0.26662263320123292</v>
      </c>
      <c r="M75" s="216">
        <f>'Reported Group Balance Sheet'!M54/'Reported Group Highlights'!M13</f>
        <v>0.35837780149413018</v>
      </c>
      <c r="N75" s="216">
        <f>'Reported Group Balance Sheet'!N54/'Reported Group Highlights'!N13</f>
        <v>0.2918524523713012</v>
      </c>
      <c r="O75" s="216">
        <f>'Reported Group Balance Sheet'!O54/'Reported Group Highlights'!O13</f>
        <v>0.10294117647058823</v>
      </c>
      <c r="P75" s="216">
        <f>'Reported Group Balance Sheet'!P54/'Reported Group Highlights'!P13</f>
        <v>0.219201003974064</v>
      </c>
      <c r="Q75" s="216">
        <f>'Reported Group Balance Sheet'!Q54/'Reported Group Highlights'!Q13</f>
        <v>0.27187290221526067</v>
      </c>
      <c r="R75" s="216">
        <f>'Reported Group Balance Sheet'!R54/'Reported Group Highlights'!R13</f>
        <v>0.2615113461114783</v>
      </c>
      <c r="S75" s="216">
        <f>'Reported Group Balance Sheet'!S54/'Reported Group Highlights'!S13</f>
        <v>0.65954198473282444</v>
      </c>
      <c r="T75" s="216">
        <f>'Reported Group Balance Sheet'!T54/'Reported Group Highlights'!T13</f>
        <v>0.2111328549684714</v>
      </c>
      <c r="U75" s="216">
        <f>'Reported Group Balance Sheet'!U54/'Reported Group Highlights'!U13</f>
        <v>0.5111420612813371</v>
      </c>
      <c r="V75" s="216">
        <f>'Reported Group Balance Sheet'!V54/'Reported Group Highlights'!V13</f>
        <v>0.26609848484848486</v>
      </c>
      <c r="W75" s="216">
        <f>'Reported Group Balance Sheet'!W54/'Reported Group Highlights'!W13</f>
        <v>0.41923436041083101</v>
      </c>
      <c r="X75" s="216">
        <f>'Reported Group Balance Sheet'!X54/'Reported Group Highlights'!X13</f>
        <v>0.32121791658347759</v>
      </c>
      <c r="Y75" s="216">
        <f>'Reported Group Balance Sheet'!Y54/'Reported Group Highlights'!Y13</f>
        <v>0.35356363019805137</v>
      </c>
      <c r="Z75" s="216">
        <f>'Reported Group Balance Sheet'!Z54/'Reported Group Highlights'!Z13</f>
        <v>0.33067747870409298</v>
      </c>
      <c r="AA75" s="216">
        <f>'Reported Group Balance Sheet'!AA54/'Reported Group Highlights'!AA13</f>
        <v>0.34661422286171589</v>
      </c>
      <c r="AB75" s="216">
        <f>'Reported Group Balance Sheet'!AB54/'Reported Group Highlights'!AB13</f>
        <v>0.27896289313505734</v>
      </c>
      <c r="AC75" s="216">
        <f>'Reported Group Balance Sheet'!AC54/'Reported Group Highlights'!AC13</f>
        <v>0.36740173318917857</v>
      </c>
      <c r="AD75" s="216">
        <f>'Reported Group Balance Sheet'!AD54/'Reported Group Highlights'!AD13</f>
        <v>0.32148709252058344</v>
      </c>
      <c r="AE75" s="216">
        <f>'Reported Group Balance Sheet'!AE54/'Reported Group Highlights'!AE13</f>
        <v>0.42094147352590311</v>
      </c>
      <c r="AF75" s="216">
        <f>'Reported Group Balance Sheet'!AF54/'Reported Group Highlights'!AF13</f>
        <v>0.29697725760146915</v>
      </c>
      <c r="AG75" s="216">
        <f>'Reported Group Balance Sheet'!AG54/'Reported Group Highlights'!AG13</f>
        <v>0.31573559191360856</v>
      </c>
      <c r="AH75" s="216">
        <f>'Reported Group Balance Sheet'!AH54/'Reported Group Highlights'!AH13</f>
        <v>0.21694439832162446</v>
      </c>
      <c r="AI75" s="216">
        <f>'Reported Group Balance Sheet'!AI54/'Reported Group Highlights'!AI13</f>
        <v>0.18477875636410535</v>
      </c>
      <c r="AJ75" s="216">
        <f>'Reported Group Balance Sheet'!AJ54/'Reported Group Highlights'!AJ13</f>
        <v>0.29649851837133157</v>
      </c>
      <c r="AK75" s="216">
        <f>'Reported Group Balance Sheet'!AK54/'Reported Group Highlights'!AK13</f>
        <v>0.45496724060696481</v>
      </c>
      <c r="AL75" s="216">
        <f>'Reported Group Balance Sheet'!AL54/'Reported Group Highlights'!AL13</f>
        <v>0.28123880092267778</v>
      </c>
      <c r="AM75" s="216">
        <f>'Reported Group Balance Sheet'!AM54/'Reported Group Highlights'!AM13</f>
        <v>0.55706580548824669</v>
      </c>
      <c r="AN75" s="216">
        <f>'Reported Group Balance Sheet'!AN54/'Reported Group Highlights'!AN13</f>
        <v>0.19037504500965916</v>
      </c>
      <c r="AO75" s="216">
        <f>'Reported Group Balance Sheet'!AO54/'Reported Group Highlights'!AO13</f>
        <v>0.28681521197674587</v>
      </c>
      <c r="AP75" s="216">
        <f>'Reported Group Balance Sheet'!AP54/'Reported Group Highlights'!AP13</f>
        <v>0.4365699380942577</v>
      </c>
      <c r="AQ75" s="216">
        <f>'Reported Group Balance Sheet'!AQ54/'Reported Group Highlights'!AQ13</f>
        <v>0.3755511929124194</v>
      </c>
      <c r="AR75" s="216">
        <f>'Reported Group Balance Sheet'!AR54/'Reported Group Highlights'!AR13</f>
        <v>0.19368451410751122</v>
      </c>
      <c r="AS75" s="216">
        <f>'Reported Group Balance Sheet'!AS54/'Reported Group Highlights'!AS13</f>
        <v>0.22104024099092986</v>
      </c>
      <c r="AT75" s="216">
        <f>'Reported Group Balance Sheet'!AT54/'Reported Group Highlights'!AT13</f>
        <v>0.31113536407005166</v>
      </c>
      <c r="AU75" s="216">
        <f>'Reported Group Balance Sheet'!AU54/'Reported Group Highlights'!AU13</f>
        <v>0.20042027373458146</v>
      </c>
      <c r="AW75" s="36"/>
    </row>
    <row r="76" spans="1:53" x14ac:dyDescent="0.25">
      <c r="A76" s="97" t="s">
        <v>115</v>
      </c>
      <c r="D76" s="211">
        <f>'Reported Group Balance Sheet'!D55/'Reported Group Highlights'!D13</f>
        <v>0.42974848222029488</v>
      </c>
      <c r="E76" s="211">
        <f>'Reported Group Balance Sheet'!E55/'Reported Group Highlights'!E13</f>
        <v>0.42103117994701444</v>
      </c>
      <c r="F76" s="211">
        <f>'Reported Group Balance Sheet'!F55/'Reported Group Highlights'!F13</f>
        <v>0.34381591562799618</v>
      </c>
      <c r="G76" s="211">
        <f>'Reported Group Balance Sheet'!G55/'Reported Group Highlights'!G13</f>
        <v>0.2976236105787658</v>
      </c>
      <c r="H76" s="211">
        <f>'Reported Group Balance Sheet'!H55/'Reported Group Highlights'!H13</f>
        <v>0.38030160226201698</v>
      </c>
      <c r="I76" s="211">
        <f>'Reported Group Balance Sheet'!I55/'Reported Group Highlights'!I13</f>
        <v>0.4050529747351263</v>
      </c>
      <c r="J76" s="211">
        <f>'Reported Group Balance Sheet'!J55/'Reported Group Highlights'!J13</f>
        <v>0.34509483989394246</v>
      </c>
      <c r="K76" s="211">
        <f>'Reported Group Balance Sheet'!K55/'Reported Group Highlights'!K13</f>
        <v>0.37111065320420361</v>
      </c>
      <c r="L76" s="211">
        <f>'Reported Group Balance Sheet'!L55/'Reported Group Highlights'!L13</f>
        <v>0.16930867459269044</v>
      </c>
      <c r="M76" s="211">
        <f>'Reported Group Balance Sheet'!M55/'Reported Group Highlights'!M13</f>
        <v>0.32294557097118465</v>
      </c>
      <c r="N76" s="211">
        <f>'Reported Group Balance Sheet'!N55/'Reported Group Highlights'!N13</f>
        <v>0.13822456424807458</v>
      </c>
      <c r="O76" s="211">
        <f>'Reported Group Balance Sheet'!O55/'Reported Group Highlights'!O13</f>
        <v>0.2348966613672496</v>
      </c>
      <c r="P76" s="211">
        <f>'Reported Group Balance Sheet'!P55/'Reported Group Highlights'!P13</f>
        <v>0.23509725998745032</v>
      </c>
      <c r="Q76" s="211">
        <f>'Reported Group Balance Sheet'!Q55/'Reported Group Highlights'!Q13</f>
        <v>0.16692772432311478</v>
      </c>
      <c r="R76" s="211">
        <f>'Reported Group Balance Sheet'!R55/'Reported Group Highlights'!R13</f>
        <v>0.55540868032606305</v>
      </c>
      <c r="S76" s="211">
        <f>'Reported Group Balance Sheet'!S55/'Reported Group Highlights'!S13</f>
        <v>0.26019629225736096</v>
      </c>
      <c r="T76" s="211">
        <f>'Reported Group Balance Sheet'!T55/'Reported Group Highlights'!T13</f>
        <v>0.28397477712546204</v>
      </c>
      <c r="U76" s="211">
        <f>'Reported Group Balance Sheet'!U55/'Reported Group Highlights'!U13</f>
        <v>0.47692001591723038</v>
      </c>
      <c r="V76" s="211">
        <f>'Reported Group Balance Sheet'!V55/'Reported Group Highlights'!V13</f>
        <v>0.29469696969696968</v>
      </c>
      <c r="W76" s="211">
        <f>'Reported Group Balance Sheet'!W55/'Reported Group Highlights'!W13</f>
        <v>0.26853408029878617</v>
      </c>
      <c r="X76" s="211">
        <f>'Reported Group Balance Sheet'!X55/'Reported Group Highlights'!X13</f>
        <v>0.1977993585119554</v>
      </c>
      <c r="Y76" s="211">
        <f>'Reported Group Balance Sheet'!Y55/'Reported Group Highlights'!Y13</f>
        <v>0.22139031049784524</v>
      </c>
      <c r="Z76" s="211">
        <f>'Reported Group Balance Sheet'!Z55/'Reported Group Highlights'!Z13</f>
        <v>0.24686886666584773</v>
      </c>
      <c r="AA76" s="211">
        <f>'Reported Group Balance Sheet'!AA55/'Reported Group Highlights'!AA13</f>
        <v>0.47650097808095498</v>
      </c>
      <c r="AB76" s="211">
        <f>'Reported Group Balance Sheet'!AB55/'Reported Group Highlights'!AB13</f>
        <v>0.45730713851458443</v>
      </c>
      <c r="AC76" s="211">
        <f>'Reported Group Balance Sheet'!AC55/'Reported Group Highlights'!AC13</f>
        <v>0.38020379835519769</v>
      </c>
      <c r="AD76" s="211">
        <f>'Reported Group Balance Sheet'!AD55/'Reported Group Highlights'!AD13</f>
        <v>0.31256157345112773</v>
      </c>
      <c r="AE76" s="211">
        <f>'Reported Group Balance Sheet'!AE55/'Reported Group Highlights'!AE13</f>
        <v>0.44028340338561817</v>
      </c>
      <c r="AF76" s="211">
        <f>'Reported Group Balance Sheet'!AF55/'Reported Group Highlights'!AF13</f>
        <v>0.32094701785892044</v>
      </c>
      <c r="AG76" s="211">
        <f>'Reported Group Balance Sheet'!AG55/'Reported Group Highlights'!AG13</f>
        <v>0.41644569760492472</v>
      </c>
      <c r="AH76" s="211">
        <f>'Reported Group Balance Sheet'!AH55/'Reported Group Highlights'!AH13</f>
        <v>0.24935140292608227</v>
      </c>
      <c r="AI76" s="211">
        <f>'Reported Group Balance Sheet'!AI55/'Reported Group Highlights'!AI13</f>
        <v>0.29463415082336281</v>
      </c>
      <c r="AJ76" s="211">
        <f>'Reported Group Balance Sheet'!AJ55/'Reported Group Highlights'!AJ13</f>
        <v>0.31990341336143963</v>
      </c>
      <c r="AK76" s="211">
        <f>'Reported Group Balance Sheet'!AK55/'Reported Group Highlights'!AK13</f>
        <v>0.35328325668003219</v>
      </c>
      <c r="AL76" s="211">
        <f>'Reported Group Balance Sheet'!AL55/'Reported Group Highlights'!AL13</f>
        <v>0.25454998006248764</v>
      </c>
      <c r="AM76" s="211">
        <f>'Reported Group Balance Sheet'!AM55/'Reported Group Highlights'!AM13</f>
        <v>0.2514018447706835</v>
      </c>
      <c r="AN76" s="211">
        <f>'Reported Group Balance Sheet'!AN55/'Reported Group Highlights'!AN13</f>
        <v>0.38121276000309778</v>
      </c>
      <c r="AO76" s="211">
        <f>'Reported Group Balance Sheet'!AO55/'Reported Group Highlights'!AO13</f>
        <v>0.28681521197674587</v>
      </c>
      <c r="AP76" s="211">
        <f>'Reported Group Balance Sheet'!AP55/'Reported Group Highlights'!AP13</f>
        <v>0.27574052807527361</v>
      </c>
      <c r="AQ76" s="211">
        <f>'Reported Group Balance Sheet'!AQ55/'Reported Group Highlights'!AQ13</f>
        <v>0.33091741967441912</v>
      </c>
      <c r="AR76" s="211">
        <f>'Reported Group Balance Sheet'!AR55/'Reported Group Highlights'!AR13</f>
        <v>0.31885008146949112</v>
      </c>
      <c r="AS76" s="211">
        <f>'Reported Group Balance Sheet'!AS55/'Reported Group Highlights'!AS13</f>
        <v>0.36364771943031221</v>
      </c>
      <c r="AT76" s="211">
        <f>'Reported Group Balance Sheet'!AT55/'Reported Group Highlights'!AT13</f>
        <v>0.3732051110072111</v>
      </c>
      <c r="AU76" s="211">
        <f>'Reported Group Balance Sheet'!AU55/'Reported Group Highlights'!AU13</f>
        <v>0.29386930162791469</v>
      </c>
    </row>
    <row r="77" spans="1:53" x14ac:dyDescent="0.25">
      <c r="A77" s="43" t="s">
        <v>155</v>
      </c>
      <c r="D77" s="217">
        <f>D54/'Reported Group Highlights'!D46</f>
        <v>1.3506787330316743</v>
      </c>
      <c r="E77" s="217">
        <f>E54/'Reported Group Highlights'!E46</f>
        <v>1.126984126984127</v>
      </c>
      <c r="F77" s="217">
        <f>F54/'Reported Group Highlights'!F46</f>
        <v>0.98283534647171011</v>
      </c>
      <c r="G77" s="217">
        <f>G54/'Reported Group Highlights'!G46</f>
        <v>1.3792401628222524</v>
      </c>
      <c r="H77" s="217">
        <f>H54/'Reported Group Highlights'!H46</f>
        <v>1.122029543994862</v>
      </c>
      <c r="I77" s="217">
        <f>I54/'Reported Group Highlights'!I46</f>
        <v>0.77076023391812865</v>
      </c>
      <c r="J77" s="217">
        <f>J54/'Reported Group Highlights'!J46</f>
        <v>0.67855270057682227</v>
      </c>
      <c r="K77" s="217">
        <f>K54/'Reported Group Highlights'!K46</f>
        <v>0.77914798206278024</v>
      </c>
      <c r="L77" s="217">
        <f>L54/'Reported Group Highlights'!L46</f>
        <v>0.67615857063093243</v>
      </c>
      <c r="M77" s="217">
        <f>M54/'Reported Group Highlights'!M46</f>
        <v>0.94219977553310885</v>
      </c>
      <c r="N77" s="217">
        <f>N54/'Reported Group Highlights'!N46</f>
        <v>0.85663295657346816</v>
      </c>
      <c r="O77" s="217">
        <f>O54/'Reported Group Highlights'!O46</f>
        <v>0.27538543328017012</v>
      </c>
      <c r="P77" s="217">
        <f>P54/'Reported Group Highlights'!P46</f>
        <v>0.56012827365045426</v>
      </c>
      <c r="Q77" s="217">
        <f>Q54/'Reported Group Highlights'!Q46</f>
        <v>0.58133971291866027</v>
      </c>
      <c r="R77" s="217">
        <f>R54/'Reported Group Highlights'!R46</f>
        <v>0.6594444444444445</v>
      </c>
      <c r="S77" s="217">
        <f>S54/'Reported Group Highlights'!S46</f>
        <v>1.3234135667396061</v>
      </c>
      <c r="T77" s="217">
        <f>T54/'Reported Group Highlights'!T46</f>
        <v>0.57832042882668255</v>
      </c>
      <c r="U77" s="217">
        <f>U54/'Reported Group Highlights'!U46</f>
        <v>1.509400705052879</v>
      </c>
      <c r="V77" s="217">
        <f>V54/'Reported Group Highlights'!V46</f>
        <v>0.82404692082111441</v>
      </c>
      <c r="W77" s="217">
        <f>W54/'Reported Group Highlights'!W46</f>
        <v>1.2037533512064342</v>
      </c>
      <c r="X77" s="89">
        <f>X54/'Reported Group Highlights'!X46</f>
        <v>0.8436147186147186</v>
      </c>
      <c r="Y77" s="89">
        <f>Y54/'Reported Group Highlights'!Y46</f>
        <v>0.92340884573894277</v>
      </c>
      <c r="Z77" s="89">
        <f>Z54/'Reported Group Highlights'!Z46</f>
        <v>0.86746361746361744</v>
      </c>
      <c r="AA77" s="89">
        <f>AA54/'Reported Group Highlights'!AA46</f>
        <v>0.30892410341951626</v>
      </c>
      <c r="AB77" s="89">
        <f>AB54/'Reported Group Highlights'!AB46</f>
        <v>0.85319028797289664</v>
      </c>
      <c r="AC77" s="89">
        <f>AC54/'Reported Group Highlights'!AC46</f>
        <v>1.1896649630891538</v>
      </c>
      <c r="AD77" s="89">
        <f>AD54/'Reported Group Highlights'!AD46</f>
        <v>1.0170484816196057</v>
      </c>
      <c r="AE77" s="89">
        <f>AE54/'Reported Group Highlights'!AE46</f>
        <v>1.2697031729785055</v>
      </c>
      <c r="AF77" s="89">
        <f>AF54/'Reported Group Highlights'!AF46</f>
        <v>0.68535224762114777</v>
      </c>
      <c r="AG77" s="89">
        <f>AG54/'Reported Group Highlights'!AG46</f>
        <v>0.78144620017279143</v>
      </c>
      <c r="AH77" s="89">
        <f>AH54/'Reported Group Highlights'!AH46</f>
        <v>0.56969471793919124</v>
      </c>
      <c r="AI77" s="89">
        <f>AI54/'Reported Group Highlights'!AI46</f>
        <v>0.21661993513768826</v>
      </c>
      <c r="AJ77" s="89">
        <f>AJ54/'Reported Group Highlights'!AJ46</f>
        <v>0.70910936937614499</v>
      </c>
      <c r="AK77" s="89">
        <f>AK54/'Reported Group Highlights'!AK46</f>
        <v>1.1429888217533535</v>
      </c>
      <c r="AL77" s="89">
        <f>AL54/'Reported Group Highlights'!AL46</f>
        <v>0.71317803411654945</v>
      </c>
      <c r="AM77" s="89">
        <f>AM54/'Reported Group Highlights'!AM46</f>
        <v>1.4054101787177133</v>
      </c>
      <c r="AN77" s="89">
        <f>AN54/'Reported Group Highlights'!AN46</f>
        <v>0.48186805484236389</v>
      </c>
      <c r="AO77" s="89">
        <f>AO54/'Reported Group Highlights'!AO46</f>
        <v>0.78224104314685616</v>
      </c>
      <c r="AP77" s="89">
        <f>AP54/'Reported Group Highlights'!AP46</f>
        <v>1.2022893574871472</v>
      </c>
      <c r="AQ77" s="89">
        <f>AQ54/'Reported Group Highlights'!AQ46</f>
        <v>0.95003731918379219</v>
      </c>
      <c r="AR77" s="89">
        <f>AR54/'Reported Group Highlights'!AR46</f>
        <v>0.51607106660165558</v>
      </c>
      <c r="AS77" s="89">
        <f>AS54/'Reported Group Highlights'!AS46</f>
        <v>0.61587081058562843</v>
      </c>
      <c r="AT77" s="89">
        <f>AT54/'Reported Group Highlights'!AT46</f>
        <v>0.80798255650551065</v>
      </c>
      <c r="AU77" s="89">
        <f>AU54/'Reported Group Highlights'!AU46</f>
        <v>0.57140286310739041</v>
      </c>
    </row>
    <row r="79" spans="1:53" s="200" customFormat="1" x14ac:dyDescent="0.25">
      <c r="B79" s="114"/>
      <c r="C79" s="114"/>
      <c r="D79" s="114"/>
      <c r="E79" s="114"/>
      <c r="F79" s="114"/>
      <c r="G79" s="114"/>
      <c r="H79" s="114"/>
      <c r="I79" s="114"/>
      <c r="J79" s="114"/>
      <c r="K79" s="114" t="s">
        <v>113</v>
      </c>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row>
    <row r="80" spans="1:53" s="200" customFormat="1" x14ac:dyDescent="0.25">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row>
    <row r="82" spans="2:47" x14ac:dyDescent="0.25">
      <c r="B82" s="218"/>
      <c r="C82" s="218"/>
      <c r="D82" s="218"/>
      <c r="E82" s="218"/>
      <c r="F82" s="218"/>
      <c r="G82" s="218"/>
      <c r="H82" s="218"/>
      <c r="I82" s="218"/>
      <c r="J82" s="218"/>
      <c r="K82" s="218"/>
      <c r="L82" s="218"/>
      <c r="M82" s="218"/>
      <c r="N82" s="218"/>
      <c r="O82" s="218"/>
      <c r="P82" s="218"/>
      <c r="Q82" s="218"/>
      <c r="R82" s="218"/>
      <c r="S82" s="218"/>
      <c r="T82" s="218"/>
      <c r="U82" s="218"/>
      <c r="V82" s="218"/>
      <c r="W82" s="218"/>
      <c r="X82" s="219"/>
      <c r="Y82" s="219"/>
      <c r="Z82" s="219"/>
      <c r="AA82" s="219"/>
      <c r="AB82" s="219"/>
      <c r="AC82" s="218"/>
      <c r="AD82" s="218"/>
      <c r="AE82" s="218"/>
      <c r="AF82" s="218"/>
      <c r="AG82" s="218"/>
      <c r="AH82" s="218"/>
      <c r="AI82" s="218"/>
      <c r="AJ82" s="218"/>
      <c r="AK82" s="218"/>
      <c r="AL82" s="218"/>
      <c r="AM82" s="218"/>
      <c r="AN82" s="218"/>
      <c r="AO82" s="218"/>
      <c r="AP82" s="218"/>
      <c r="AQ82" s="218"/>
      <c r="AR82" s="218"/>
      <c r="AS82" s="218"/>
      <c r="AT82" s="218"/>
      <c r="AU82" s="218"/>
    </row>
    <row r="83" spans="2:47" x14ac:dyDescent="0.25">
      <c r="B83" s="218"/>
      <c r="C83" s="218"/>
      <c r="D83" s="218"/>
      <c r="E83" s="218"/>
      <c r="F83" s="218"/>
      <c r="G83" s="218"/>
      <c r="H83" s="218"/>
      <c r="I83" s="218"/>
      <c r="J83" s="218"/>
      <c r="K83" s="218"/>
      <c r="L83" s="218"/>
      <c r="M83" s="218"/>
      <c r="N83" s="218"/>
      <c r="O83" s="218"/>
      <c r="P83" s="218"/>
      <c r="Q83" s="218"/>
      <c r="R83" s="218"/>
      <c r="S83" s="218"/>
      <c r="T83" s="218"/>
      <c r="U83" s="218"/>
      <c r="V83" s="218"/>
      <c r="W83" s="218"/>
      <c r="X83" s="219"/>
      <c r="Y83" s="219"/>
      <c r="Z83" s="219"/>
      <c r="AA83" s="219"/>
      <c r="AB83" s="219"/>
      <c r="AC83" s="218"/>
      <c r="AD83" s="218"/>
      <c r="AE83" s="218"/>
      <c r="AF83" s="218"/>
      <c r="AG83" s="218"/>
      <c r="AH83" s="218"/>
      <c r="AI83" s="218"/>
      <c r="AJ83" s="218"/>
      <c r="AK83" s="218"/>
      <c r="AL83" s="218"/>
      <c r="AM83" s="218"/>
      <c r="AN83" s="218"/>
      <c r="AO83" s="218"/>
      <c r="AP83" s="218"/>
      <c r="AQ83" s="218"/>
      <c r="AR83" s="218"/>
      <c r="AS83" s="218"/>
      <c r="AT83" s="218"/>
      <c r="AU83" s="218"/>
    </row>
    <row r="84" spans="2:47" x14ac:dyDescent="0.25">
      <c r="B84" s="220"/>
      <c r="C84" s="220"/>
      <c r="D84" s="220"/>
      <c r="E84" s="220"/>
      <c r="F84" s="220"/>
      <c r="G84" s="220"/>
      <c r="H84" s="220"/>
      <c r="I84" s="220"/>
      <c r="J84" s="220"/>
      <c r="K84" s="220"/>
      <c r="L84" s="220"/>
      <c r="M84" s="220"/>
      <c r="N84" s="220"/>
      <c r="O84" s="220"/>
      <c r="P84" s="220"/>
      <c r="Q84" s="220"/>
      <c r="R84" s="220"/>
      <c r="S84" s="220"/>
      <c r="T84" s="220"/>
      <c r="U84" s="220"/>
      <c r="V84" s="220"/>
      <c r="W84" s="220"/>
      <c r="X84" s="220"/>
      <c r="Y84" s="220"/>
      <c r="Z84" s="220"/>
      <c r="AA84" s="220"/>
      <c r="AB84" s="220"/>
      <c r="AC84" s="220"/>
      <c r="AD84" s="220"/>
      <c r="AE84" s="220"/>
      <c r="AF84" s="220"/>
      <c r="AG84" s="220"/>
      <c r="AH84" s="220"/>
      <c r="AI84" s="220"/>
      <c r="AJ84" s="220"/>
      <c r="AK84" s="220"/>
      <c r="AL84" s="220"/>
      <c r="AM84" s="220"/>
      <c r="AN84" s="220"/>
      <c r="AO84" s="220"/>
      <c r="AP84" s="220"/>
      <c r="AQ84" s="220"/>
      <c r="AR84" s="220"/>
      <c r="AS84" s="220"/>
      <c r="AT84" s="220"/>
      <c r="AU84" s="220"/>
    </row>
    <row r="85" spans="2:47" x14ac:dyDescent="0.25">
      <c r="B85" s="218"/>
      <c r="C85" s="218"/>
      <c r="D85" s="218"/>
      <c r="E85" s="218"/>
      <c r="F85" s="218"/>
      <c r="G85" s="218"/>
      <c r="H85" s="218"/>
      <c r="I85" s="218"/>
      <c r="J85" s="218"/>
      <c r="K85" s="218"/>
      <c r="L85" s="218"/>
      <c r="M85" s="218"/>
      <c r="N85" s="218"/>
      <c r="O85" s="218"/>
      <c r="P85" s="218"/>
      <c r="Q85" s="218"/>
      <c r="R85" s="218"/>
      <c r="S85" s="218"/>
      <c r="T85" s="218"/>
      <c r="U85" s="218"/>
      <c r="V85" s="218"/>
      <c r="W85" s="218"/>
      <c r="X85" s="219"/>
      <c r="Y85" s="219"/>
      <c r="Z85" s="218"/>
      <c r="AA85" s="219"/>
      <c r="AB85" s="219"/>
      <c r="AC85" s="218"/>
      <c r="AD85" s="218"/>
      <c r="AE85" s="218"/>
      <c r="AF85" s="218"/>
      <c r="AG85" s="218"/>
      <c r="AH85" s="218"/>
      <c r="AI85" s="218"/>
      <c r="AJ85" s="218"/>
      <c r="AK85" s="218"/>
      <c r="AL85" s="218"/>
      <c r="AM85" s="218"/>
      <c r="AN85" s="218"/>
      <c r="AO85" s="218"/>
      <c r="AP85" s="218"/>
      <c r="AQ85" s="218"/>
      <c r="AR85" s="218"/>
      <c r="AS85" s="218"/>
      <c r="AT85" s="218"/>
      <c r="AU85" s="218"/>
    </row>
    <row r="86" spans="2:47" x14ac:dyDescent="0.25">
      <c r="B86" s="220"/>
      <c r="C86" s="220"/>
      <c r="D86" s="220"/>
      <c r="E86" s="220"/>
      <c r="F86" s="220"/>
      <c r="G86" s="220"/>
      <c r="H86" s="220"/>
      <c r="I86" s="220"/>
      <c r="J86" s="220"/>
      <c r="K86" s="220"/>
      <c r="L86" s="220"/>
      <c r="M86" s="220"/>
      <c r="N86" s="220"/>
      <c r="O86" s="220"/>
      <c r="P86" s="220"/>
      <c r="Q86" s="220"/>
      <c r="R86" s="220"/>
      <c r="S86" s="220"/>
      <c r="T86" s="220"/>
      <c r="U86" s="220"/>
      <c r="V86" s="220"/>
      <c r="W86" s="220"/>
      <c r="X86" s="220"/>
      <c r="Y86" s="220"/>
      <c r="Z86" s="220"/>
      <c r="AA86" s="220"/>
      <c r="AB86" s="220"/>
      <c r="AC86" s="220"/>
      <c r="AD86" s="220"/>
      <c r="AE86" s="220"/>
      <c r="AF86" s="220"/>
      <c r="AG86" s="220"/>
      <c r="AH86" s="220"/>
      <c r="AI86" s="220"/>
      <c r="AJ86" s="220"/>
      <c r="AK86" s="220"/>
      <c r="AL86" s="220"/>
      <c r="AM86" s="220"/>
      <c r="AN86" s="220"/>
      <c r="AO86" s="220"/>
      <c r="AP86" s="220"/>
      <c r="AQ86" s="220"/>
      <c r="AR86" s="220"/>
      <c r="AS86" s="220"/>
      <c r="AT86" s="220"/>
      <c r="AU86" s="220"/>
    </row>
  </sheetData>
  <phoneticPr fontId="15" type="noConversion"/>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74"/>
  <sheetViews>
    <sheetView showGridLines="0" zoomScale="70" zoomScaleNormal="70" workbookViewId="0">
      <pane xSplit="1" ySplit="2" topLeftCell="AJ3" activePane="bottomRight" state="frozen"/>
      <selection activeCell="AU7" sqref="AU7 AU9 AU11 AU21:AU23 AU25 AU42 AU60 AU141 AU144:AU146"/>
      <selection pane="topRight" activeCell="AU7" sqref="AU7 AU9 AU11 AU21:AU23 AU25 AU42 AU60 AU141 AU144:AU146"/>
      <selection pane="bottomLeft" activeCell="AU7" sqref="AU7 AU9 AU11 AU21:AU23 AU25 AU42 AU60 AU141 AU144:AU146"/>
      <selection pane="bottomRight" activeCell="AU36" sqref="AU36"/>
    </sheetView>
  </sheetViews>
  <sheetFormatPr defaultColWidth="9.21875" defaultRowHeight="13.2" outlineLevelCol="1" x14ac:dyDescent="0.25"/>
  <cols>
    <col min="1" max="1" width="56.6640625" style="43" bestFit="1" customWidth="1"/>
    <col min="2" max="2" width="5.5546875" style="43" customWidth="1" outlineLevel="1"/>
    <col min="3" max="3" width="5.6640625" style="43" customWidth="1" outlineLevel="1"/>
    <col min="4" max="23" width="11.77734375" style="43" customWidth="1" outlineLevel="1"/>
    <col min="24" max="30" width="11.77734375" style="43" bestFit="1" customWidth="1"/>
    <col min="31" max="47" width="11.77734375" style="43" customWidth="1"/>
    <col min="48" max="48" width="4.33203125" style="43" customWidth="1"/>
    <col min="49" max="49" width="30.6640625" style="43" customWidth="1"/>
    <col min="50" max="16384" width="9.21875" style="43"/>
  </cols>
  <sheetData>
    <row r="1" spans="1:50" s="36" customFormat="1" x14ac:dyDescent="0.25">
      <c r="A1" s="33" t="s">
        <v>63</v>
      </c>
      <c r="B1" s="33"/>
      <c r="C1" s="33"/>
      <c r="D1" s="34" t="str">
        <f>'Reported Group Highlights'!D1</f>
        <v>1Q13</v>
      </c>
      <c r="E1" s="34" t="str">
        <f>'Reported Group Highlights'!E1</f>
        <v>2Q13</v>
      </c>
      <c r="F1" s="34" t="str">
        <f>'Reported Group Highlights'!F1</f>
        <v>3Q13</v>
      </c>
      <c r="G1" s="34" t="str">
        <f>'Reported Group Highlights'!G1</f>
        <v>4Q13</v>
      </c>
      <c r="H1" s="34" t="str">
        <f>'Reported Group Highlights'!H1</f>
        <v>1Q14</v>
      </c>
      <c r="I1" s="34" t="str">
        <f>'Reported Group Highlights'!I1</f>
        <v>2Q14</v>
      </c>
      <c r="J1" s="34" t="str">
        <f>'Reported Group Highlights'!J1</f>
        <v>3Q14</v>
      </c>
      <c r="K1" s="34" t="str">
        <f>'Reported Group Highlights'!K1</f>
        <v>4Q14</v>
      </c>
      <c r="L1" s="34" t="str">
        <f>'Reported Group Highlights'!L1</f>
        <v>1Q15</v>
      </c>
      <c r="M1" s="34" t="str">
        <f>'Reported Group Highlights'!M1</f>
        <v>2Q15</v>
      </c>
      <c r="N1" s="34" t="str">
        <f>'Reported Group Highlights'!N1</f>
        <v>3Q15</v>
      </c>
      <c r="O1" s="34" t="str">
        <f>'Reported Group Highlights'!O1</f>
        <v>4Q15</v>
      </c>
      <c r="P1" s="34" t="str">
        <f>'Reported Group Highlights'!P1</f>
        <v>1Q16</v>
      </c>
      <c r="Q1" s="34" t="str">
        <f>'Reported Group Highlights'!Q1</f>
        <v>2Q16</v>
      </c>
      <c r="R1" s="34" t="str">
        <f>'Reported Group Highlights'!R1</f>
        <v>3Q16</v>
      </c>
      <c r="S1" s="34" t="str">
        <f>'Reported Group Highlights'!S1</f>
        <v>4Q16</v>
      </c>
      <c r="T1" s="34" t="str">
        <f>'Reported Group Highlights'!T1</f>
        <v>1Q17</v>
      </c>
      <c r="U1" s="34" t="str">
        <f>'Reported Group Highlights'!U1</f>
        <v>2Q17</v>
      </c>
      <c r="V1" s="34" t="str">
        <f>'Reported Group Highlights'!V1</f>
        <v>3Q17</v>
      </c>
      <c r="W1" s="34" t="str">
        <f>'Reported Group Highlights'!W1</f>
        <v>4Q17</v>
      </c>
      <c r="X1" s="34" t="str">
        <f>'Reported Group Highlights'!X1</f>
        <v>1Q18</v>
      </c>
      <c r="Y1" s="34" t="str">
        <f>'Reported Group Highlights'!Y1</f>
        <v>2Q18</v>
      </c>
      <c r="Z1" s="34" t="str">
        <f>'Reported Group Highlights'!Z1</f>
        <v>3Q18</v>
      </c>
      <c r="AA1" s="34" t="str">
        <f>'Reported Group Highlights'!AA1</f>
        <v>4Q18</v>
      </c>
      <c r="AB1" s="34" t="str">
        <f>'Reported Group Highlights'!AB1</f>
        <v>1Q19</v>
      </c>
      <c r="AC1" s="34" t="str">
        <f>'Reported Group Highlights'!AC1</f>
        <v>2Q19</v>
      </c>
      <c r="AD1" s="34" t="str">
        <f>'Reported Group Highlights'!AD1</f>
        <v>3Q19</v>
      </c>
      <c r="AE1" s="34" t="str">
        <f>'Reported Group Highlights'!AE1</f>
        <v>4Q19</v>
      </c>
      <c r="AF1" s="34" t="str">
        <f>'Reported Group Highlights'!AF1</f>
        <v>1Q20</v>
      </c>
      <c r="AG1" s="34" t="str">
        <f>'Reported Group Highlights'!AG1</f>
        <v>2Q20</v>
      </c>
      <c r="AH1" s="34" t="str">
        <f>'Reported Group Highlights'!AH1</f>
        <v>3Q20</v>
      </c>
      <c r="AI1" s="34" t="str">
        <f>'Reported Group Highlights'!AI1</f>
        <v>4Q20</v>
      </c>
      <c r="AJ1" s="34" t="str">
        <f>'Reported Group Highlights'!AJ1</f>
        <v>1Q21</v>
      </c>
      <c r="AK1" s="34" t="str">
        <f>'Reported Group Highlights'!AK1</f>
        <v>2Q21</v>
      </c>
      <c r="AL1" s="34" t="str">
        <f>'Reported Group Highlights'!AL1</f>
        <v>3Q21</v>
      </c>
      <c r="AM1" s="34" t="str">
        <f>'Reported Group Highlights'!AM1</f>
        <v>4Q21</v>
      </c>
      <c r="AN1" s="34" t="str">
        <f>'Reported Group Highlights'!AN1</f>
        <v>1Q22</v>
      </c>
      <c r="AO1" s="34" t="str">
        <f>'Reported Group Highlights'!AO1</f>
        <v>2Q22</v>
      </c>
      <c r="AP1" s="34" t="str">
        <f>'Reported Group Highlights'!AP1</f>
        <v>3Q22</v>
      </c>
      <c r="AQ1" s="34" t="str">
        <f>'Reported Group Highlights'!AQ1</f>
        <v>4Q22</v>
      </c>
      <c r="AR1" s="34" t="str">
        <f>'Reported Group Highlights'!AR1</f>
        <v>1Q23</v>
      </c>
      <c r="AS1" s="34" t="str">
        <f>'Reported Group Highlights'!AS1</f>
        <v>2Q23</v>
      </c>
      <c r="AT1" s="34" t="str">
        <f>'Reported Group Highlights'!AT1</f>
        <v>3Q23</v>
      </c>
      <c r="AU1" s="34" t="str">
        <f>'Reported Group Highlights'!AU1</f>
        <v>4Q23</v>
      </c>
      <c r="AV1" s="33"/>
      <c r="AW1" s="33" t="s">
        <v>11</v>
      </c>
    </row>
    <row r="2" spans="1:50" s="36" customFormat="1" x14ac:dyDescent="0.25">
      <c r="A2" s="33" t="s">
        <v>64</v>
      </c>
      <c r="B2" s="33"/>
      <c r="C2" s="33"/>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3"/>
      <c r="AW2" s="33"/>
    </row>
    <row r="3" spans="1:50" x14ac:dyDescent="0.25">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c r="AU3" s="116"/>
    </row>
    <row r="4" spans="1:50" hidden="1" x14ac:dyDescent="0.25">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6"/>
      <c r="AU4" s="116"/>
    </row>
    <row r="5" spans="1:50" hidden="1" x14ac:dyDescent="0.25">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row>
    <row r="6" spans="1:50" hidden="1" x14ac:dyDescent="0.25">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row>
    <row r="7" spans="1:50" x14ac:dyDescent="0.25">
      <c r="A7" s="43" t="s">
        <v>373</v>
      </c>
      <c r="C7" s="136"/>
      <c r="D7" s="221">
        <v>8.1809999999999992</v>
      </c>
      <c r="E7" s="221">
        <v>11.919000000000002</v>
      </c>
      <c r="F7" s="221">
        <v>15.799999999999995</v>
      </c>
      <c r="G7" s="221">
        <v>17.399999999999999</v>
      </c>
      <c r="H7" s="221">
        <v>22.57</v>
      </c>
      <c r="I7" s="221">
        <v>29.229999999999997</v>
      </c>
      <c r="J7" s="221">
        <v>32.700000000000003</v>
      </c>
      <c r="K7" s="221">
        <v>36.400000000000006</v>
      </c>
      <c r="L7" s="221">
        <v>42.4</v>
      </c>
      <c r="M7" s="221">
        <v>45.362000000000002</v>
      </c>
      <c r="N7" s="221">
        <v>43.882000000000012</v>
      </c>
      <c r="O7" s="221">
        <v>54.656000000000013</v>
      </c>
      <c r="P7" s="221">
        <v>84.367000000000004</v>
      </c>
      <c r="Q7" s="221">
        <v>112.89399999999999</v>
      </c>
      <c r="R7" s="221">
        <v>129.839</v>
      </c>
      <c r="S7" s="222">
        <v>176.09999999999997</v>
      </c>
      <c r="T7" s="222">
        <v>231.2</v>
      </c>
      <c r="U7" s="137">
        <f>530.9-T7</f>
        <v>299.7</v>
      </c>
      <c r="V7" s="137">
        <f>861.8-U7-T7</f>
        <v>330.89999999999992</v>
      </c>
      <c r="W7" s="137">
        <f>1249.5-V7-U7-T7</f>
        <v>387.7000000000001</v>
      </c>
      <c r="X7" s="169">
        <v>417.5</v>
      </c>
      <c r="Y7" s="140">
        <f>935.5-X7</f>
        <v>518</v>
      </c>
      <c r="Z7" s="140">
        <f>1532-Y7-X7</f>
        <v>596.5</v>
      </c>
      <c r="AA7" s="169">
        <v>668.7</v>
      </c>
      <c r="AB7" s="169">
        <v>710.4</v>
      </c>
      <c r="AC7" s="140">
        <f>1531.2-AB7</f>
        <v>820.80000000000007</v>
      </c>
      <c r="AD7" s="140">
        <f>2386.1-AB7-AC7</f>
        <v>854.89999999999975</v>
      </c>
      <c r="AE7" s="169">
        <v>934.3</v>
      </c>
      <c r="AF7" s="169">
        <v>1000</v>
      </c>
      <c r="AG7" s="169">
        <v>1221</v>
      </c>
      <c r="AH7" s="169">
        <v>1275</v>
      </c>
      <c r="AI7" s="169">
        <v>1376</v>
      </c>
      <c r="AJ7" s="169">
        <v>1391</v>
      </c>
      <c r="AK7" s="169">
        <v>1572</v>
      </c>
      <c r="AL7" s="169">
        <v>1722</v>
      </c>
      <c r="AM7" s="169">
        <v>1865</v>
      </c>
      <c r="AN7" s="169">
        <v>1857</v>
      </c>
      <c r="AO7" s="169">
        <v>1983</v>
      </c>
      <c r="AP7" s="169">
        <v>2046</v>
      </c>
      <c r="AQ7" s="169">
        <v>2106</v>
      </c>
      <c r="AR7" s="169">
        <v>2204</v>
      </c>
      <c r="AS7" s="169">
        <v>2452</v>
      </c>
      <c r="AT7" s="169">
        <v>2453</v>
      </c>
      <c r="AU7" s="169">
        <v>2529</v>
      </c>
      <c r="AV7" s="138"/>
      <c r="AW7" s="138" t="s">
        <v>374</v>
      </c>
      <c r="AX7" s="97"/>
    </row>
    <row r="8" spans="1:50" x14ac:dyDescent="0.25">
      <c r="C8" s="136"/>
      <c r="D8" s="139"/>
      <c r="E8" s="139"/>
      <c r="F8" s="139"/>
      <c r="G8" s="139"/>
      <c r="H8" s="139"/>
      <c r="I8" s="139"/>
      <c r="J8" s="139"/>
      <c r="K8" s="139"/>
      <c r="L8" s="139"/>
      <c r="M8" s="139"/>
      <c r="N8" s="139"/>
      <c r="O8" s="139"/>
      <c r="P8" s="139"/>
      <c r="Q8" s="139"/>
      <c r="R8" s="139"/>
      <c r="S8" s="140"/>
      <c r="T8" s="140"/>
      <c r="U8" s="140"/>
      <c r="V8" s="140"/>
      <c r="W8" s="140"/>
      <c r="X8" s="140"/>
      <c r="Y8" s="140"/>
      <c r="Z8" s="140"/>
      <c r="AA8" s="141"/>
      <c r="AB8" s="141"/>
      <c r="AC8" s="141"/>
      <c r="AD8" s="141"/>
      <c r="AE8" s="141"/>
      <c r="AF8" s="141"/>
      <c r="AG8" s="141"/>
      <c r="AH8" s="141"/>
      <c r="AI8" s="141"/>
      <c r="AJ8" s="141"/>
      <c r="AK8" s="141"/>
      <c r="AL8" s="141"/>
      <c r="AM8" s="141"/>
      <c r="AN8" s="141"/>
      <c r="AO8" s="141"/>
      <c r="AP8" s="141"/>
      <c r="AQ8" s="141"/>
      <c r="AR8" s="141"/>
      <c r="AS8" s="141"/>
      <c r="AT8" s="141"/>
      <c r="AU8" s="141"/>
      <c r="AV8" s="142"/>
      <c r="AW8" s="106"/>
      <c r="AX8" s="97"/>
    </row>
    <row r="9" spans="1:50" x14ac:dyDescent="0.25">
      <c r="A9" s="43" t="s">
        <v>100</v>
      </c>
      <c r="C9" s="136"/>
      <c r="D9" s="139"/>
      <c r="E9" s="139"/>
      <c r="F9" s="139"/>
      <c r="G9" s="139"/>
      <c r="H9" s="139"/>
      <c r="I9" s="139"/>
      <c r="J9" s="139"/>
      <c r="K9" s="139"/>
      <c r="L9" s="139"/>
      <c r="M9" s="139"/>
      <c r="N9" s="139"/>
      <c r="O9" s="139"/>
      <c r="P9" s="139"/>
      <c r="Q9" s="139"/>
      <c r="R9" s="139"/>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2"/>
      <c r="AW9" s="106"/>
      <c r="AX9" s="97"/>
    </row>
    <row r="10" spans="1:50" x14ac:dyDescent="0.25">
      <c r="A10" s="43" t="s">
        <v>101</v>
      </c>
      <c r="C10" s="136"/>
      <c r="D10" s="168">
        <v>26524</v>
      </c>
      <c r="E10" s="168">
        <v>27107</v>
      </c>
      <c r="F10" s="168">
        <v>28074</v>
      </c>
      <c r="G10" s="168">
        <v>29878</v>
      </c>
      <c r="H10" s="168">
        <v>30655</v>
      </c>
      <c r="I10" s="168">
        <v>32635</v>
      </c>
      <c r="J10" s="168">
        <v>34253</v>
      </c>
      <c r="K10" s="168">
        <v>36006</v>
      </c>
      <c r="L10" s="168">
        <v>36331</v>
      </c>
      <c r="M10" s="168">
        <v>37072</v>
      </c>
      <c r="N10" s="168">
        <v>37364</v>
      </c>
      <c r="O10" s="168">
        <v>37506</v>
      </c>
      <c r="P10" s="168">
        <v>37430</v>
      </c>
      <c r="Q10" s="168">
        <v>37629</v>
      </c>
      <c r="R10" s="168">
        <v>37582</v>
      </c>
      <c r="S10" s="168">
        <v>37549</v>
      </c>
      <c r="T10" s="168">
        <v>37575</v>
      </c>
      <c r="U10" s="169">
        <v>37749</v>
      </c>
      <c r="V10" s="169">
        <v>37832</v>
      </c>
      <c r="W10" s="169">
        <v>37802</v>
      </c>
      <c r="X10" s="169">
        <v>37750</v>
      </c>
      <c r="Y10" s="169">
        <v>37700</v>
      </c>
      <c r="Z10" s="169">
        <v>37630</v>
      </c>
      <c r="AA10" s="169">
        <v>37426</v>
      </c>
      <c r="AB10" s="169">
        <v>36929</v>
      </c>
      <c r="AC10" s="169">
        <v>36674</v>
      </c>
      <c r="AD10" s="169">
        <v>36054</v>
      </c>
      <c r="AE10" s="169">
        <v>35926</v>
      </c>
      <c r="AF10" s="169">
        <v>35819</v>
      </c>
      <c r="AG10" s="169">
        <v>35590</v>
      </c>
      <c r="AH10" s="169">
        <v>36030</v>
      </c>
      <c r="AI10" s="169">
        <v>37446</v>
      </c>
      <c r="AJ10" s="169">
        <v>37805</v>
      </c>
      <c r="AK10" s="169">
        <v>38517</v>
      </c>
      <c r="AL10" s="169">
        <v>39546</v>
      </c>
      <c r="AM10" s="169">
        <v>43421</v>
      </c>
      <c r="AN10" s="169">
        <v>49149</v>
      </c>
      <c r="AO10" s="169">
        <v>56003</v>
      </c>
      <c r="AP10" s="169">
        <v>55304</v>
      </c>
      <c r="AQ10" s="169">
        <v>53136</v>
      </c>
      <c r="AR10" s="169">
        <v>53135</v>
      </c>
      <c r="AS10" s="169">
        <v>53136</v>
      </c>
      <c r="AT10" s="169">
        <v>53653</v>
      </c>
      <c r="AU10" s="169">
        <v>54074</v>
      </c>
      <c r="AV10" s="136"/>
      <c r="AW10" s="106"/>
      <c r="AX10" s="97"/>
    </row>
    <row r="11" spans="1:50" x14ac:dyDescent="0.25">
      <c r="A11" s="43" t="s">
        <v>102</v>
      </c>
      <c r="C11" s="136"/>
      <c r="D11" s="168">
        <v>13295</v>
      </c>
      <c r="E11" s="168">
        <v>14186</v>
      </c>
      <c r="F11" s="168">
        <v>14722</v>
      </c>
      <c r="G11" s="168">
        <v>15068</v>
      </c>
      <c r="H11" s="168">
        <v>14945</v>
      </c>
      <c r="I11" s="168">
        <v>15179</v>
      </c>
      <c r="J11" s="168">
        <v>15429</v>
      </c>
      <c r="K11" s="168">
        <v>16006</v>
      </c>
      <c r="L11" s="168">
        <v>16431</v>
      </c>
      <c r="M11" s="168">
        <v>17246</v>
      </c>
      <c r="N11" s="168">
        <v>17918</v>
      </c>
      <c r="O11" s="168">
        <v>18239</v>
      </c>
      <c r="P11" s="168">
        <v>18324</v>
      </c>
      <c r="Q11" s="168">
        <v>23474</v>
      </c>
      <c r="R11" s="168">
        <v>33939</v>
      </c>
      <c r="S11" s="168">
        <v>38731</v>
      </c>
      <c r="T11" s="168">
        <v>39743</v>
      </c>
      <c r="U11" s="169">
        <v>42167</v>
      </c>
      <c r="V11" s="169">
        <v>44462</v>
      </c>
      <c r="W11" s="169">
        <v>45864</v>
      </c>
      <c r="X11" s="169">
        <v>47853</v>
      </c>
      <c r="Y11" s="169">
        <v>49401</v>
      </c>
      <c r="Z11" s="169">
        <v>50476</v>
      </c>
      <c r="AA11" s="169">
        <v>51398</v>
      </c>
      <c r="AB11" s="169">
        <v>52140</v>
      </c>
      <c r="AC11" s="169">
        <v>53260</v>
      </c>
      <c r="AD11" s="169">
        <v>53911</v>
      </c>
      <c r="AE11" s="169">
        <v>54027</v>
      </c>
      <c r="AF11" s="169">
        <v>54138</v>
      </c>
      <c r="AG11" s="169">
        <v>54046</v>
      </c>
      <c r="AH11" s="169">
        <v>53513</v>
      </c>
      <c r="AI11" s="169">
        <v>53235</v>
      </c>
      <c r="AJ11" s="169">
        <v>52892</v>
      </c>
      <c r="AK11" s="169">
        <v>52534</v>
      </c>
      <c r="AL11" s="169">
        <v>43908</v>
      </c>
      <c r="AM11" s="169">
        <v>41657</v>
      </c>
      <c r="AN11" s="169">
        <v>4566</v>
      </c>
      <c r="AO11" s="169">
        <v>4221</v>
      </c>
      <c r="AP11" s="169">
        <v>1989</v>
      </c>
      <c r="AQ11" s="169">
        <f>AI11-51980</f>
        <v>1255</v>
      </c>
      <c r="AR11" s="169">
        <v>1252</v>
      </c>
      <c r="AS11" s="169">
        <v>1226</v>
      </c>
      <c r="AT11" s="169">
        <v>1164</v>
      </c>
      <c r="AU11" s="169">
        <v>1057</v>
      </c>
      <c r="AV11" s="136"/>
      <c r="AW11" s="97" t="s">
        <v>391</v>
      </c>
      <c r="AX11" s="97"/>
    </row>
    <row r="12" spans="1:50" x14ac:dyDescent="0.25">
      <c r="A12" s="43" t="s">
        <v>103</v>
      </c>
      <c r="C12" s="136"/>
      <c r="D12" s="168">
        <v>0</v>
      </c>
      <c r="E12" s="168">
        <v>0</v>
      </c>
      <c r="F12" s="168">
        <v>0</v>
      </c>
      <c r="G12" s="168">
        <v>0</v>
      </c>
      <c r="H12" s="168">
        <v>0</v>
      </c>
      <c r="I12" s="168">
        <v>0</v>
      </c>
      <c r="J12" s="168">
        <v>0</v>
      </c>
      <c r="K12" s="168">
        <v>0</v>
      </c>
      <c r="L12" s="168">
        <v>180</v>
      </c>
      <c r="M12" s="168">
        <v>232</v>
      </c>
      <c r="N12" s="168">
        <v>1018</v>
      </c>
      <c r="O12" s="168">
        <v>3134</v>
      </c>
      <c r="P12" s="168">
        <v>3286</v>
      </c>
      <c r="Q12" s="168">
        <v>5250</v>
      </c>
      <c r="R12" s="168">
        <v>7204</v>
      </c>
      <c r="S12" s="168">
        <v>8204</v>
      </c>
      <c r="T12" s="168">
        <v>10330</v>
      </c>
      <c r="U12" s="169">
        <v>13591</v>
      </c>
      <c r="V12" s="169">
        <v>15711</v>
      </c>
      <c r="W12" s="169">
        <v>17428</v>
      </c>
      <c r="X12" s="169">
        <v>20189</v>
      </c>
      <c r="Y12" s="169">
        <v>24685</v>
      </c>
      <c r="Z12" s="169">
        <v>28028</v>
      </c>
      <c r="AA12" s="169">
        <v>29772</v>
      </c>
      <c r="AB12" s="169">
        <v>33106</v>
      </c>
      <c r="AC12" s="169">
        <v>37323</v>
      </c>
      <c r="AD12" s="169">
        <v>39296</v>
      </c>
      <c r="AE12" s="169">
        <v>40264</v>
      </c>
      <c r="AF12" s="169">
        <v>43579</v>
      </c>
      <c r="AG12" s="169">
        <v>49744</v>
      </c>
      <c r="AH12" s="169">
        <v>53055</v>
      </c>
      <c r="AI12" s="169">
        <v>54297</v>
      </c>
      <c r="AJ12" s="169">
        <v>57089</v>
      </c>
      <c r="AK12" s="169">
        <v>65658</v>
      </c>
      <c r="AL12" s="169">
        <v>69903</v>
      </c>
      <c r="AM12" s="169">
        <v>77204</v>
      </c>
      <c r="AN12" s="169">
        <v>83873</v>
      </c>
      <c r="AO12" s="169">
        <v>88447</v>
      </c>
      <c r="AP12" s="169">
        <v>90174</v>
      </c>
      <c r="AQ12" s="169">
        <v>91632</v>
      </c>
      <c r="AR12" s="169">
        <v>94380</v>
      </c>
      <c r="AS12" s="169">
        <v>97125</v>
      </c>
      <c r="AT12" s="169">
        <v>103408</v>
      </c>
      <c r="AU12" s="169">
        <v>104993</v>
      </c>
      <c r="AV12" s="136"/>
      <c r="AW12" s="97"/>
      <c r="AX12" s="97"/>
    </row>
    <row r="13" spans="1:50" x14ac:dyDescent="0.25">
      <c r="C13" s="136"/>
      <c r="D13" s="139">
        <f t="shared" ref="D13:F13" si="0">D10+D11-C10-C11</f>
        <v>39819</v>
      </c>
      <c r="E13" s="139">
        <f t="shared" si="0"/>
        <v>1474</v>
      </c>
      <c r="F13" s="139">
        <f t="shared" si="0"/>
        <v>1503</v>
      </c>
      <c r="G13" s="139">
        <f>G10+G11-F10-F11</f>
        <v>2150</v>
      </c>
      <c r="H13" s="139">
        <f t="shared" ref="H13:I13" si="1">H10+H11-G10-G11</f>
        <v>654</v>
      </c>
      <c r="I13" s="139">
        <f t="shared" si="1"/>
        <v>2214</v>
      </c>
      <c r="J13" s="139">
        <f>J10+J11-I10-I11</f>
        <v>1868</v>
      </c>
      <c r="K13" s="139">
        <f>K10+K11-J10-J11</f>
        <v>2330</v>
      </c>
      <c r="L13" s="139">
        <f>L10+L11-K10-K11</f>
        <v>750</v>
      </c>
      <c r="M13" s="139"/>
      <c r="N13" s="139"/>
      <c r="O13" s="139"/>
      <c r="P13" s="139"/>
      <c r="Q13" s="139"/>
      <c r="R13" s="139"/>
      <c r="S13" s="140"/>
      <c r="T13" s="140"/>
      <c r="U13" s="140"/>
      <c r="V13" s="140"/>
      <c r="W13" s="140"/>
      <c r="X13" s="140"/>
      <c r="Y13" s="140"/>
      <c r="Z13" s="140"/>
      <c r="AA13" s="140"/>
      <c r="AB13" s="140"/>
      <c r="AC13" s="140"/>
      <c r="AD13" s="140"/>
      <c r="AE13" s="140">
        <f t="shared" ref="AE13:AL13" si="2">AE12-AD12</f>
        <v>968</v>
      </c>
      <c r="AF13" s="140">
        <f t="shared" si="2"/>
        <v>3315</v>
      </c>
      <c r="AG13" s="140">
        <f t="shared" si="2"/>
        <v>6165</v>
      </c>
      <c r="AH13" s="140">
        <f t="shared" si="2"/>
        <v>3311</v>
      </c>
      <c r="AI13" s="140">
        <f t="shared" si="2"/>
        <v>1242</v>
      </c>
      <c r="AJ13" s="140">
        <f t="shared" si="2"/>
        <v>2792</v>
      </c>
      <c r="AK13" s="140">
        <f t="shared" si="2"/>
        <v>8569</v>
      </c>
      <c r="AL13" s="140">
        <f t="shared" si="2"/>
        <v>4245</v>
      </c>
      <c r="AM13" s="140">
        <f>AM12-AL12</f>
        <v>7301</v>
      </c>
      <c r="AN13" s="140">
        <f>AN12-AM12</f>
        <v>6669</v>
      </c>
      <c r="AO13" s="140">
        <f t="shared" ref="AO13:AQ13" si="3">AO12-AN12</f>
        <v>4574</v>
      </c>
      <c r="AP13" s="140">
        <f t="shared" si="3"/>
        <v>1727</v>
      </c>
      <c r="AQ13" s="140">
        <f t="shared" si="3"/>
        <v>1458</v>
      </c>
      <c r="AR13" s="140">
        <f>AR12-AQ12</f>
        <v>2748</v>
      </c>
      <c r="AS13" s="140">
        <f>AS12-AR12</f>
        <v>2745</v>
      </c>
      <c r="AT13" s="140">
        <f t="shared" ref="AT13:AU13" si="4">AT12-AS12</f>
        <v>6283</v>
      </c>
      <c r="AU13" s="140">
        <f t="shared" si="4"/>
        <v>1585</v>
      </c>
      <c r="AV13" s="142"/>
      <c r="AW13" s="106"/>
      <c r="AX13" s="97"/>
    </row>
    <row r="14" spans="1:50" x14ac:dyDescent="0.25">
      <c r="A14" s="43" t="s">
        <v>104</v>
      </c>
      <c r="C14" s="136"/>
      <c r="D14" s="168">
        <v>1978</v>
      </c>
      <c r="E14" s="168">
        <v>2019</v>
      </c>
      <c r="F14" s="168">
        <v>2011</v>
      </c>
      <c r="G14" s="168">
        <v>2021</v>
      </c>
      <c r="H14" s="168">
        <v>2287</v>
      </c>
      <c r="I14" s="168">
        <v>2243</v>
      </c>
      <c r="J14" s="168">
        <v>2190</v>
      </c>
      <c r="K14" s="168">
        <v>2140</v>
      </c>
      <c r="L14" s="168">
        <v>2067</v>
      </c>
      <c r="M14" s="168">
        <v>2069</v>
      </c>
      <c r="N14" s="168">
        <v>2050</v>
      </c>
      <c r="O14" s="168">
        <v>2033</v>
      </c>
      <c r="P14" s="168">
        <v>1946</v>
      </c>
      <c r="Q14" s="168">
        <v>1978</v>
      </c>
      <c r="R14" s="168">
        <v>1956</v>
      </c>
      <c r="S14" s="169">
        <v>1892</v>
      </c>
      <c r="T14" s="169">
        <v>1888</v>
      </c>
      <c r="U14" s="169">
        <v>1886</v>
      </c>
      <c r="V14" s="169">
        <v>1869</v>
      </c>
      <c r="W14" s="169">
        <v>1652</v>
      </c>
      <c r="X14" s="169">
        <v>1656</v>
      </c>
      <c r="Y14" s="169">
        <v>1671</v>
      </c>
      <c r="Z14" s="169">
        <v>1682</v>
      </c>
      <c r="AA14" s="169">
        <v>1677</v>
      </c>
      <c r="AB14" s="169">
        <v>1677</v>
      </c>
      <c r="AC14" s="169">
        <v>1697</v>
      </c>
      <c r="AD14" s="169">
        <v>1654</v>
      </c>
      <c r="AE14" s="169">
        <v>1601</v>
      </c>
      <c r="AF14" s="169">
        <v>1612</v>
      </c>
      <c r="AG14" s="169">
        <v>1616</v>
      </c>
      <c r="AH14" s="169">
        <v>1614</v>
      </c>
      <c r="AI14" s="169">
        <v>1607</v>
      </c>
      <c r="AJ14" s="169">
        <v>1593</v>
      </c>
      <c r="AK14" s="169">
        <v>1563</v>
      </c>
      <c r="AL14" s="169">
        <v>1560</v>
      </c>
      <c r="AM14" s="169">
        <v>1568</v>
      </c>
      <c r="AN14" s="140"/>
      <c r="AO14" s="140"/>
      <c r="AP14" s="140"/>
      <c r="AQ14" s="140"/>
      <c r="AR14" s="140"/>
      <c r="AS14" s="140"/>
      <c r="AT14" s="140"/>
      <c r="AU14" s="140"/>
      <c r="AV14" s="142"/>
      <c r="AW14" s="106"/>
      <c r="AX14" s="97"/>
    </row>
    <row r="15" spans="1:50" x14ac:dyDescent="0.25">
      <c r="C15" s="136"/>
      <c r="D15" s="139"/>
      <c r="E15" s="139"/>
      <c r="F15" s="139"/>
      <c r="G15" s="139"/>
      <c r="H15" s="139"/>
      <c r="I15" s="139"/>
      <c r="J15" s="139"/>
      <c r="K15" s="139"/>
      <c r="L15" s="139"/>
      <c r="M15" s="139"/>
      <c r="N15" s="139"/>
      <c r="O15" s="139"/>
      <c r="P15" s="139"/>
      <c r="Q15" s="139"/>
      <c r="R15" s="139"/>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2"/>
      <c r="AW15" s="106"/>
      <c r="AX15" s="97"/>
    </row>
    <row r="16" spans="1:50" x14ac:dyDescent="0.25">
      <c r="A16" s="43" t="s">
        <v>364</v>
      </c>
      <c r="C16" s="136"/>
      <c r="D16" s="168">
        <v>354</v>
      </c>
      <c r="E16" s="139">
        <f>328</f>
        <v>328</v>
      </c>
      <c r="F16" s="168">
        <v>332</v>
      </c>
      <c r="G16" s="168">
        <v>377</v>
      </c>
      <c r="H16" s="168">
        <v>382</v>
      </c>
      <c r="I16" s="168">
        <v>391</v>
      </c>
      <c r="J16" s="168">
        <v>412</v>
      </c>
      <c r="K16" s="168">
        <v>423</v>
      </c>
      <c r="L16" s="168">
        <v>425</v>
      </c>
      <c r="M16" s="168">
        <v>428</v>
      </c>
      <c r="N16" s="168">
        <v>431</v>
      </c>
      <c r="O16" s="168">
        <v>437</v>
      </c>
      <c r="P16" s="168">
        <v>438</v>
      </c>
      <c r="Q16" s="168">
        <v>490</v>
      </c>
      <c r="R16" s="168">
        <v>511</v>
      </c>
      <c r="S16" s="169">
        <v>533</v>
      </c>
      <c r="T16" s="169">
        <v>540</v>
      </c>
      <c r="U16" s="169">
        <v>582</v>
      </c>
      <c r="V16" s="169">
        <v>631</v>
      </c>
      <c r="W16" s="169">
        <v>703</v>
      </c>
      <c r="X16" s="169">
        <v>804</v>
      </c>
      <c r="Y16" s="169">
        <v>891</v>
      </c>
      <c r="Z16" s="169">
        <v>954</v>
      </c>
      <c r="AA16" s="169">
        <v>1024</v>
      </c>
      <c r="AB16" s="169">
        <v>1048</v>
      </c>
      <c r="AC16" s="169">
        <v>1051</v>
      </c>
      <c r="AD16" s="169">
        <v>1055</v>
      </c>
      <c r="AE16" s="169">
        <v>1066</v>
      </c>
      <c r="AF16" s="169">
        <v>1150</v>
      </c>
      <c r="AG16" s="169">
        <v>1140</v>
      </c>
      <c r="AH16" s="169">
        <v>1140</v>
      </c>
      <c r="AI16" s="169">
        <v>1150</v>
      </c>
      <c r="AJ16" s="169">
        <v>1180</v>
      </c>
      <c r="AK16" s="169">
        <v>1230</v>
      </c>
      <c r="AL16" s="169">
        <v>1270</v>
      </c>
      <c r="AM16" s="169">
        <v>1320</v>
      </c>
      <c r="AN16" s="169">
        <v>1360</v>
      </c>
      <c r="AO16" s="169">
        <v>1420</v>
      </c>
      <c r="AP16" s="169">
        <v>1500</v>
      </c>
      <c r="AQ16" s="169">
        <v>1500</v>
      </c>
      <c r="AR16" s="169">
        <v>1500</v>
      </c>
      <c r="AS16" s="169">
        <v>1500</v>
      </c>
      <c r="AT16" s="169">
        <v>1600</v>
      </c>
      <c r="AU16" s="169">
        <v>1600</v>
      </c>
      <c r="AV16" s="142"/>
      <c r="AW16" s="106"/>
      <c r="AX16" s="97"/>
    </row>
    <row r="17" spans="1:50" x14ac:dyDescent="0.25">
      <c r="A17" s="43" t="s">
        <v>365</v>
      </c>
      <c r="C17" s="136"/>
      <c r="D17" s="140">
        <f t="shared" ref="D17:K17" si="5">D18-D16</f>
        <v>48746</v>
      </c>
      <c r="E17" s="140">
        <f t="shared" si="5"/>
        <v>53872</v>
      </c>
      <c r="F17" s="140">
        <f t="shared" si="5"/>
        <v>57768</v>
      </c>
      <c r="G17" s="140">
        <f t="shared" si="5"/>
        <v>60123</v>
      </c>
      <c r="H17" s="140">
        <f t="shared" si="5"/>
        <v>68118</v>
      </c>
      <c r="I17" s="140">
        <f t="shared" si="5"/>
        <v>62477</v>
      </c>
      <c r="J17" s="140">
        <f t="shared" si="5"/>
        <v>57844</v>
      </c>
      <c r="K17" s="140">
        <f t="shared" si="5"/>
        <v>59177</v>
      </c>
      <c r="L17" s="140">
        <f t="shared" ref="L17:V17" si="6">L18-L16</f>
        <v>51675</v>
      </c>
      <c r="M17" s="140">
        <f t="shared" si="6"/>
        <v>45572</v>
      </c>
      <c r="N17" s="140">
        <f t="shared" si="6"/>
        <v>41069</v>
      </c>
      <c r="O17" s="140">
        <f t="shared" si="6"/>
        <v>41563</v>
      </c>
      <c r="P17" s="140">
        <f t="shared" si="6"/>
        <v>42062</v>
      </c>
      <c r="Q17" s="140">
        <f t="shared" si="6"/>
        <v>43510</v>
      </c>
      <c r="R17" s="140">
        <f t="shared" si="6"/>
        <v>44489</v>
      </c>
      <c r="S17" s="140">
        <f t="shared" si="6"/>
        <v>45967</v>
      </c>
      <c r="T17" s="140">
        <f t="shared" si="6"/>
        <v>47460</v>
      </c>
      <c r="U17" s="140">
        <f t="shared" si="6"/>
        <v>49918</v>
      </c>
      <c r="V17" s="140">
        <f t="shared" si="6"/>
        <v>51869</v>
      </c>
      <c r="W17" s="140">
        <f>W18-W16</f>
        <v>52797</v>
      </c>
      <c r="X17" s="169">
        <v>53700</v>
      </c>
      <c r="Y17" s="169">
        <v>52000</v>
      </c>
      <c r="Z17" s="169">
        <v>52900</v>
      </c>
      <c r="AA17" s="169">
        <v>53900</v>
      </c>
      <c r="AB17" s="169">
        <v>54000</v>
      </c>
      <c r="AC17" s="169">
        <v>55500</v>
      </c>
      <c r="AD17" s="169">
        <v>54400</v>
      </c>
      <c r="AE17" s="169">
        <v>55600</v>
      </c>
      <c r="AF17" s="169">
        <v>54340</v>
      </c>
      <c r="AG17" s="169">
        <v>54540</v>
      </c>
      <c r="AH17" s="169">
        <v>55740</v>
      </c>
      <c r="AI17" s="169">
        <v>56740</v>
      </c>
      <c r="AJ17" s="169">
        <v>54830</v>
      </c>
      <c r="AK17" s="169">
        <v>55540</v>
      </c>
      <c r="AL17" s="169">
        <v>56710</v>
      </c>
      <c r="AM17" s="169">
        <v>56590</v>
      </c>
      <c r="AN17" s="169">
        <v>55640</v>
      </c>
      <c r="AO17" s="169">
        <v>55810</v>
      </c>
      <c r="AP17" s="169">
        <v>55900</v>
      </c>
      <c r="AQ17" s="169">
        <v>56000</v>
      </c>
      <c r="AR17" s="169">
        <v>56400</v>
      </c>
      <c r="AS17" s="169">
        <v>56500</v>
      </c>
      <c r="AT17" s="169">
        <v>55900</v>
      </c>
      <c r="AU17" s="169">
        <v>55900</v>
      </c>
      <c r="AV17" s="142"/>
      <c r="AW17" s="106"/>
      <c r="AX17" s="97"/>
    </row>
    <row r="18" spans="1:50" s="36" customFormat="1" x14ac:dyDescent="0.25">
      <c r="A18" s="36" t="s">
        <v>366</v>
      </c>
      <c r="C18" s="143"/>
      <c r="D18" s="223">
        <v>49100</v>
      </c>
      <c r="E18" s="223">
        <v>54200</v>
      </c>
      <c r="F18" s="223">
        <v>58100</v>
      </c>
      <c r="G18" s="223">
        <v>60500</v>
      </c>
      <c r="H18" s="223">
        <v>68500</v>
      </c>
      <c r="I18" s="223">
        <v>62868</v>
      </c>
      <c r="J18" s="223">
        <v>58256</v>
      </c>
      <c r="K18" s="223">
        <v>59600</v>
      </c>
      <c r="L18" s="223">
        <v>52100</v>
      </c>
      <c r="M18" s="223">
        <v>46000</v>
      </c>
      <c r="N18" s="223">
        <v>41500</v>
      </c>
      <c r="O18" s="223">
        <v>42000</v>
      </c>
      <c r="P18" s="223">
        <v>42500</v>
      </c>
      <c r="Q18" s="223">
        <v>44000</v>
      </c>
      <c r="R18" s="223">
        <v>45000</v>
      </c>
      <c r="S18" s="224">
        <v>46500</v>
      </c>
      <c r="T18" s="224">
        <v>48000</v>
      </c>
      <c r="U18" s="224">
        <v>50500</v>
      </c>
      <c r="V18" s="224">
        <v>52500</v>
      </c>
      <c r="W18" s="145">
        <f>53500</f>
        <v>53500</v>
      </c>
      <c r="X18" s="224">
        <v>54500</v>
      </c>
      <c r="Y18" s="224">
        <v>52900</v>
      </c>
      <c r="Z18" s="224">
        <v>53900</v>
      </c>
      <c r="AA18" s="224">
        <v>54900</v>
      </c>
      <c r="AB18" s="224">
        <v>55100</v>
      </c>
      <c r="AC18" s="224">
        <v>56600</v>
      </c>
      <c r="AD18" s="224">
        <v>55500</v>
      </c>
      <c r="AE18" s="224">
        <v>56700</v>
      </c>
      <c r="AF18" s="224">
        <v>55490</v>
      </c>
      <c r="AG18" s="224">
        <v>55670</v>
      </c>
      <c r="AH18" s="224">
        <v>56880</v>
      </c>
      <c r="AI18" s="145">
        <f t="shared" ref="AI18:AN18" si="7">AI16+AI17</f>
        <v>57890</v>
      </c>
      <c r="AJ18" s="145">
        <f t="shared" si="7"/>
        <v>56010</v>
      </c>
      <c r="AK18" s="145">
        <f t="shared" si="7"/>
        <v>56770</v>
      </c>
      <c r="AL18" s="145">
        <f t="shared" si="7"/>
        <v>57980</v>
      </c>
      <c r="AM18" s="145">
        <f t="shared" si="7"/>
        <v>57910</v>
      </c>
      <c r="AN18" s="145">
        <f t="shared" si="7"/>
        <v>57000</v>
      </c>
      <c r="AO18" s="145">
        <f t="shared" ref="AO18:AP18" si="8">AO16+AO17</f>
        <v>57230</v>
      </c>
      <c r="AP18" s="145">
        <f t="shared" si="8"/>
        <v>57400</v>
      </c>
      <c r="AQ18" s="145">
        <f t="shared" ref="AQ18:AT18" si="9">AQ16+AQ17</f>
        <v>57500</v>
      </c>
      <c r="AR18" s="145">
        <f t="shared" si="9"/>
        <v>57900</v>
      </c>
      <c r="AS18" s="145">
        <f t="shared" si="9"/>
        <v>58000</v>
      </c>
      <c r="AT18" s="145">
        <f t="shared" si="9"/>
        <v>57500</v>
      </c>
      <c r="AU18" s="145">
        <f t="shared" ref="AU18" si="10">AU16+AU17</f>
        <v>57500</v>
      </c>
      <c r="AV18" s="146"/>
      <c r="AW18" s="106"/>
      <c r="AX18" s="106"/>
    </row>
    <row r="19" spans="1:50" x14ac:dyDescent="0.25">
      <c r="C19" s="136"/>
      <c r="D19" s="139"/>
      <c r="E19" s="139"/>
      <c r="F19" s="139"/>
      <c r="G19" s="139"/>
      <c r="H19" s="139"/>
      <c r="I19" s="139"/>
      <c r="J19" s="139"/>
      <c r="K19" s="139"/>
      <c r="L19" s="139"/>
      <c r="M19" s="139"/>
      <c r="N19" s="139"/>
      <c r="O19" s="139"/>
      <c r="P19" s="139"/>
      <c r="Q19" s="139"/>
      <c r="R19" s="139"/>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2"/>
      <c r="AW19" s="97"/>
      <c r="AX19" s="97"/>
    </row>
    <row r="20" spans="1:50" s="36" customFormat="1" x14ac:dyDescent="0.25">
      <c r="A20" s="36" t="s">
        <v>369</v>
      </c>
      <c r="C20" s="147"/>
      <c r="D20" s="224">
        <v>27000</v>
      </c>
      <c r="E20" s="224">
        <v>27000</v>
      </c>
      <c r="F20" s="224">
        <v>27000</v>
      </c>
      <c r="G20" s="224">
        <v>27000</v>
      </c>
      <c r="H20" s="224">
        <v>23000</v>
      </c>
      <c r="I20" s="224">
        <v>25000</v>
      </c>
      <c r="J20" s="224">
        <v>27000</v>
      </c>
      <c r="K20" s="224">
        <v>21000</v>
      </c>
      <c r="L20" s="224">
        <v>28000</v>
      </c>
      <c r="M20" s="224">
        <v>32000</v>
      </c>
      <c r="N20" s="224">
        <v>36000</v>
      </c>
      <c r="O20" s="224">
        <v>40000</v>
      </c>
      <c r="P20" s="224">
        <v>39000</v>
      </c>
      <c r="Q20" s="224">
        <v>35000</v>
      </c>
      <c r="R20" s="224">
        <v>34000</v>
      </c>
      <c r="S20" s="224">
        <v>32000</v>
      </c>
      <c r="T20" s="224">
        <v>33000</v>
      </c>
      <c r="U20" s="145">
        <f>34000*2-T20</f>
        <v>35000</v>
      </c>
      <c r="V20" s="145">
        <f>34000*3-U20-T20</f>
        <v>34000</v>
      </c>
      <c r="W20" s="145">
        <f>34000*4-V20-U20-T20</f>
        <v>34000</v>
      </c>
      <c r="X20" s="224">
        <v>30000</v>
      </c>
      <c r="Y20" s="224">
        <v>31000</v>
      </c>
      <c r="Z20" s="224">
        <v>32000</v>
      </c>
      <c r="AA20" s="224">
        <v>33000</v>
      </c>
      <c r="AB20" s="224">
        <v>33000</v>
      </c>
      <c r="AC20" s="145">
        <f>34000</f>
        <v>34000</v>
      </c>
      <c r="AD20" s="225">
        <v>35000</v>
      </c>
      <c r="AE20" s="225">
        <v>36000</v>
      </c>
      <c r="AF20" s="225">
        <v>36000</v>
      </c>
      <c r="AG20" s="225">
        <v>37000</v>
      </c>
      <c r="AH20" s="225">
        <v>36000</v>
      </c>
      <c r="AI20" s="225">
        <v>34000</v>
      </c>
      <c r="AJ20" s="225">
        <v>35000</v>
      </c>
      <c r="AK20" s="225">
        <v>37000</v>
      </c>
      <c r="AL20" s="225">
        <v>37000</v>
      </c>
      <c r="AM20" s="225">
        <v>37000</v>
      </c>
      <c r="AN20" s="225">
        <v>36000</v>
      </c>
      <c r="AO20" s="225">
        <v>39000</v>
      </c>
      <c r="AP20" s="225">
        <v>40000</v>
      </c>
      <c r="AQ20" s="225">
        <v>40000</v>
      </c>
      <c r="AR20" s="225">
        <v>40000</v>
      </c>
      <c r="AS20" s="225">
        <v>42000</v>
      </c>
      <c r="AT20" s="225">
        <v>42000</v>
      </c>
      <c r="AU20" s="225">
        <v>43000</v>
      </c>
      <c r="AV20" s="147"/>
      <c r="AW20" s="267"/>
      <c r="AX20" s="106"/>
    </row>
    <row r="21" spans="1:50" x14ac:dyDescent="0.25">
      <c r="A21" s="43" t="s">
        <v>368</v>
      </c>
      <c r="C21" s="136"/>
      <c r="D21" s="168">
        <v>127000</v>
      </c>
      <c r="E21" s="139">
        <f>133000*2-D21</f>
        <v>139000</v>
      </c>
      <c r="F21" s="139">
        <f>136000*3-E21-D21</f>
        <v>142000</v>
      </c>
      <c r="G21" s="139">
        <f>132000*4-F21-E21-D21</f>
        <v>120000</v>
      </c>
      <c r="H21" s="139">
        <v>113000</v>
      </c>
      <c r="I21" s="139">
        <f>126000*2-H21</f>
        <v>139000</v>
      </c>
      <c r="J21" s="139">
        <f>118000*3-I21-H21</f>
        <v>102000</v>
      </c>
      <c r="K21" s="139">
        <f>118000*4-J21-I21-H21</f>
        <v>118000</v>
      </c>
      <c r="L21" s="168">
        <v>104000</v>
      </c>
      <c r="M21" s="139">
        <f>104000*2-L21</f>
        <v>104000</v>
      </c>
      <c r="N21" s="139">
        <f>105000*3-M21-L21</f>
        <v>107000</v>
      </c>
      <c r="O21" s="139">
        <f>107000*4-N21-M21-L21</f>
        <v>113000</v>
      </c>
      <c r="P21" s="168">
        <v>116000</v>
      </c>
      <c r="Q21" s="139">
        <f>108000*2-P21</f>
        <v>100000</v>
      </c>
      <c r="R21" s="139">
        <f>116000*3-Q21-P21</f>
        <v>132000</v>
      </c>
      <c r="S21" s="140">
        <f>116000*4-R21-Q21-P21</f>
        <v>116000</v>
      </c>
      <c r="T21" s="169">
        <v>124000</v>
      </c>
      <c r="U21" s="140">
        <f>116000*2-T21</f>
        <v>108000</v>
      </c>
      <c r="V21" s="140">
        <f>115000*3-U21-T21</f>
        <v>113000</v>
      </c>
      <c r="W21" s="140">
        <f>114000*4-V21-U21-T21</f>
        <v>111000</v>
      </c>
      <c r="X21" s="169">
        <v>106000</v>
      </c>
      <c r="Y21" s="169">
        <v>103000</v>
      </c>
      <c r="Z21" s="169">
        <v>103000</v>
      </c>
      <c r="AA21" s="169">
        <v>103000</v>
      </c>
      <c r="AB21" s="169">
        <v>114000</v>
      </c>
      <c r="AC21" s="169">
        <v>109000</v>
      </c>
      <c r="AD21" s="169">
        <v>111000</v>
      </c>
      <c r="AE21" s="169">
        <v>109000</v>
      </c>
      <c r="AF21" s="169">
        <v>114000</v>
      </c>
      <c r="AG21" s="169">
        <v>111000</v>
      </c>
      <c r="AH21" s="169">
        <v>110000</v>
      </c>
      <c r="AI21" s="169">
        <v>110000</v>
      </c>
      <c r="AJ21" s="169">
        <v>108000</v>
      </c>
      <c r="AK21" s="169">
        <v>108000</v>
      </c>
      <c r="AL21" s="169">
        <v>105000</v>
      </c>
      <c r="AM21" s="169">
        <v>106000</v>
      </c>
      <c r="AN21" s="169">
        <v>98000</v>
      </c>
      <c r="AO21" s="169">
        <v>97000</v>
      </c>
      <c r="AP21" s="169">
        <v>96000</v>
      </c>
      <c r="AQ21" s="169">
        <v>92000</v>
      </c>
      <c r="AR21" s="169">
        <v>91000</v>
      </c>
      <c r="AS21" s="169">
        <v>90000</v>
      </c>
      <c r="AT21" s="169">
        <v>90000</v>
      </c>
      <c r="AU21" s="169">
        <v>87000</v>
      </c>
      <c r="AV21" s="142"/>
      <c r="AW21" s="97"/>
      <c r="AX21" s="97"/>
    </row>
    <row r="22" spans="1:50" x14ac:dyDescent="0.25">
      <c r="A22" s="43" t="s">
        <v>367</v>
      </c>
      <c r="C22" s="136"/>
      <c r="D22" s="168">
        <v>27000</v>
      </c>
      <c r="E22" s="139">
        <f>27000*2-D22</f>
        <v>27000</v>
      </c>
      <c r="F22" s="139">
        <f>26000*3-E22-D22</f>
        <v>24000</v>
      </c>
      <c r="G22" s="139">
        <f>26000*4-F22-E22-D22</f>
        <v>26000</v>
      </c>
      <c r="H22" s="168">
        <v>22000</v>
      </c>
      <c r="I22" s="139">
        <f>24000*2-H22</f>
        <v>26000</v>
      </c>
      <c r="J22" s="139">
        <f>25000*3-I22-H22</f>
        <v>27000</v>
      </c>
      <c r="K22" s="139">
        <f>25000*4-J22-I22-H22</f>
        <v>25000</v>
      </c>
      <c r="L22" s="168">
        <v>27000</v>
      </c>
      <c r="M22" s="139">
        <f>29000*2-L22</f>
        <v>31000</v>
      </c>
      <c r="N22" s="139">
        <f>32000*3-M22-L22</f>
        <v>38000</v>
      </c>
      <c r="O22" s="139">
        <f>34000*4-N22-M22-L22</f>
        <v>40000</v>
      </c>
      <c r="P22" s="168">
        <v>38000</v>
      </c>
      <c r="Q22" s="139">
        <f>36000*2-P22</f>
        <v>34000</v>
      </c>
      <c r="R22" s="139">
        <f>35000*3-Q22-P22</f>
        <v>33000</v>
      </c>
      <c r="S22" s="140">
        <f>34000*4-R22-Q22-P22</f>
        <v>31000</v>
      </c>
      <c r="T22" s="169">
        <v>32000</v>
      </c>
      <c r="U22" s="140">
        <f>33000*2-T22</f>
        <v>34000</v>
      </c>
      <c r="V22" s="140">
        <f>33000*3-U22-T22</f>
        <v>33000</v>
      </c>
      <c r="W22" s="140">
        <f>33000*4-V22-U22-T22</f>
        <v>33000</v>
      </c>
      <c r="X22" s="169">
        <v>29000</v>
      </c>
      <c r="Y22" s="169">
        <v>30000</v>
      </c>
      <c r="Z22" s="169">
        <v>30000</v>
      </c>
      <c r="AA22" s="169">
        <v>31000</v>
      </c>
      <c r="AB22" s="169">
        <v>31000</v>
      </c>
      <c r="AC22" s="169">
        <v>33000</v>
      </c>
      <c r="AD22" s="169">
        <v>34000</v>
      </c>
      <c r="AE22" s="169">
        <v>34000</v>
      </c>
      <c r="AF22" s="169">
        <v>34000</v>
      </c>
      <c r="AG22" s="169">
        <v>36000</v>
      </c>
      <c r="AH22" s="169">
        <v>35000</v>
      </c>
      <c r="AI22" s="169">
        <v>33000</v>
      </c>
      <c r="AJ22" s="169">
        <v>33000</v>
      </c>
      <c r="AK22" s="169">
        <v>36000</v>
      </c>
      <c r="AL22" s="169">
        <v>36000</v>
      </c>
      <c r="AM22" s="169">
        <v>36000</v>
      </c>
      <c r="AN22" s="169">
        <v>36000</v>
      </c>
      <c r="AO22" s="169">
        <v>38000</v>
      </c>
      <c r="AP22" s="169">
        <v>38000</v>
      </c>
      <c r="AQ22" s="169">
        <v>38000</v>
      </c>
      <c r="AR22" s="169">
        <v>38000</v>
      </c>
      <c r="AS22" s="169">
        <v>40000</v>
      </c>
      <c r="AT22" s="169">
        <v>40000</v>
      </c>
      <c r="AU22" s="169">
        <v>41000</v>
      </c>
      <c r="AV22" s="142"/>
      <c r="AW22" s="97"/>
      <c r="AX22" s="97"/>
    </row>
    <row r="23" spans="1:50" s="36" customFormat="1" x14ac:dyDescent="0.25">
      <c r="C23" s="149"/>
      <c r="D23" s="144"/>
      <c r="E23" s="144"/>
      <c r="F23" s="144"/>
      <c r="G23" s="144"/>
      <c r="H23" s="144"/>
      <c r="I23" s="144"/>
      <c r="J23" s="144"/>
      <c r="K23" s="144"/>
      <c r="L23" s="144"/>
      <c r="M23" s="144"/>
      <c r="N23" s="144"/>
      <c r="O23" s="144"/>
      <c r="P23" s="144"/>
      <c r="Q23" s="144"/>
      <c r="R23" s="144"/>
      <c r="S23" s="145"/>
      <c r="T23" s="145"/>
      <c r="U23" s="145"/>
      <c r="V23" s="145"/>
      <c r="W23" s="145"/>
      <c r="X23" s="169">
        <v>1000</v>
      </c>
      <c r="Y23" s="145"/>
      <c r="Z23" s="145"/>
      <c r="AA23" s="145"/>
      <c r="AB23" s="145"/>
      <c r="AC23" s="145"/>
      <c r="AD23" s="145"/>
      <c r="AE23" s="145"/>
      <c r="AF23" s="145"/>
      <c r="AG23" s="145"/>
      <c r="AH23" s="145"/>
      <c r="AI23" s="145"/>
      <c r="AJ23" s="145"/>
      <c r="AK23" s="145"/>
      <c r="AL23" s="145"/>
      <c r="AM23" s="139">
        <f t="shared" ref="AM23:AO25" si="11">AM16-AL16</f>
        <v>50</v>
      </c>
      <c r="AN23" s="139">
        <f t="shared" si="11"/>
        <v>40</v>
      </c>
      <c r="AO23" s="139">
        <f t="shared" si="11"/>
        <v>60</v>
      </c>
      <c r="AP23" s="139"/>
      <c r="AQ23" s="139"/>
      <c r="AR23" s="139">
        <f t="shared" ref="AR23:AT25" si="12">AR16-AQ16</f>
        <v>0</v>
      </c>
      <c r="AS23" s="139"/>
      <c r="AT23" s="139"/>
      <c r="AU23" s="139"/>
      <c r="AV23" s="147"/>
      <c r="AW23" s="106"/>
      <c r="AX23" s="106"/>
    </row>
    <row r="24" spans="1:50" x14ac:dyDescent="0.25">
      <c r="A24" s="43" t="s">
        <v>168</v>
      </c>
      <c r="C24" s="150"/>
      <c r="D24" s="151"/>
      <c r="E24" s="151"/>
      <c r="F24" s="151"/>
      <c r="G24" s="151"/>
      <c r="H24" s="151"/>
      <c r="I24" s="151"/>
      <c r="J24" s="151"/>
      <c r="K24" s="151"/>
      <c r="L24" s="168">
        <v>28000</v>
      </c>
      <c r="M24" s="168">
        <v>25000</v>
      </c>
      <c r="N24" s="168">
        <v>22500</v>
      </c>
      <c r="O24" s="168">
        <v>22500</v>
      </c>
      <c r="P24" s="168">
        <v>23500</v>
      </c>
      <c r="Q24" s="168">
        <v>24000</v>
      </c>
      <c r="R24" s="168">
        <v>29250</v>
      </c>
      <c r="S24" s="168">
        <v>30225</v>
      </c>
      <c r="T24" s="168">
        <v>32640.000000000004</v>
      </c>
      <c r="U24" s="168">
        <v>33800</v>
      </c>
      <c r="V24" s="168">
        <v>36700</v>
      </c>
      <c r="W24" s="168">
        <v>38300</v>
      </c>
      <c r="X24" s="140"/>
      <c r="Y24" s="140"/>
      <c r="Z24" s="140"/>
      <c r="AA24" s="140"/>
      <c r="AB24" s="140"/>
      <c r="AC24" s="140"/>
      <c r="AD24" s="139"/>
      <c r="AE24" s="139"/>
      <c r="AF24" s="139"/>
      <c r="AG24" s="139"/>
      <c r="AH24" s="139"/>
      <c r="AI24" s="139"/>
      <c r="AJ24" s="139"/>
      <c r="AK24" s="139"/>
      <c r="AL24" s="139"/>
      <c r="AM24" s="139">
        <f t="shared" si="11"/>
        <v>-120</v>
      </c>
      <c r="AN24" s="139">
        <f t="shared" si="11"/>
        <v>-950</v>
      </c>
      <c r="AO24" s="139">
        <f t="shared" si="11"/>
        <v>170</v>
      </c>
      <c r="AP24" s="139"/>
      <c r="AQ24" s="139"/>
      <c r="AR24" s="139">
        <f t="shared" si="12"/>
        <v>400</v>
      </c>
      <c r="AS24" s="139">
        <f t="shared" si="12"/>
        <v>100</v>
      </c>
      <c r="AT24" s="139">
        <f t="shared" si="12"/>
        <v>-600</v>
      </c>
      <c r="AU24" s="139"/>
      <c r="AV24" s="150"/>
      <c r="AW24" s="97"/>
      <c r="AX24" s="97"/>
    </row>
    <row r="25" spans="1:50" x14ac:dyDescent="0.25">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L25" s="116"/>
      <c r="AM25" s="139">
        <f t="shared" si="11"/>
        <v>-70</v>
      </c>
      <c r="AN25" s="139">
        <f t="shared" si="11"/>
        <v>-910</v>
      </c>
      <c r="AO25" s="139">
        <f t="shared" si="11"/>
        <v>230</v>
      </c>
      <c r="AP25" s="139"/>
      <c r="AQ25" s="139"/>
      <c r="AR25" s="139">
        <f t="shared" si="12"/>
        <v>400</v>
      </c>
      <c r="AS25" s="139">
        <f t="shared" si="12"/>
        <v>100</v>
      </c>
      <c r="AT25" s="139">
        <f t="shared" si="12"/>
        <v>-500</v>
      </c>
      <c r="AU25" s="139"/>
    </row>
    <row r="26" spans="1:50" s="114" customFormat="1" x14ac:dyDescent="0.25">
      <c r="A26" s="112" t="s">
        <v>23</v>
      </c>
      <c r="B26" s="112"/>
      <c r="C26" s="152"/>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53"/>
      <c r="AQ26" s="153"/>
      <c r="AR26" s="153"/>
      <c r="AS26" s="153"/>
      <c r="AT26" s="153"/>
      <c r="AU26" s="153"/>
      <c r="AV26" s="152"/>
      <c r="AW26" s="112"/>
    </row>
    <row r="27" spans="1:50" s="114" customFormat="1" x14ac:dyDescent="0.25">
      <c r="A27" s="112" t="s">
        <v>62</v>
      </c>
      <c r="B27" s="112"/>
      <c r="C27" s="152"/>
      <c r="D27" s="153"/>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3"/>
      <c r="AQ27" s="153"/>
      <c r="AR27" s="153"/>
      <c r="AS27" s="153"/>
      <c r="AT27" s="153"/>
      <c r="AU27" s="153"/>
      <c r="AV27" s="152"/>
      <c r="AW27" s="112"/>
    </row>
    <row r="28" spans="1:50" s="154" customFormat="1" x14ac:dyDescent="0.25">
      <c r="A28" s="36" t="s">
        <v>383</v>
      </c>
      <c r="C28" s="155"/>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5"/>
    </row>
    <row r="29" spans="1:50" s="157" customFormat="1" x14ac:dyDescent="0.25">
      <c r="A29" s="97" t="s">
        <v>364</v>
      </c>
      <c r="C29" s="158"/>
      <c r="D29" s="159"/>
      <c r="E29" s="159"/>
      <c r="F29" s="159"/>
      <c r="G29" s="159"/>
      <c r="H29" s="159"/>
      <c r="I29" s="159"/>
      <c r="J29" s="159"/>
      <c r="K29" s="159"/>
      <c r="L29" s="159"/>
      <c r="M29" s="159"/>
      <c r="N29" s="159"/>
      <c r="O29" s="159"/>
      <c r="P29" s="159"/>
      <c r="Q29" s="159"/>
      <c r="R29" s="159"/>
      <c r="S29" s="159"/>
      <c r="T29" s="159"/>
      <c r="U29" s="159"/>
      <c r="V29" s="159"/>
      <c r="W29" s="159"/>
      <c r="X29" s="159">
        <f>X16-W16</f>
        <v>101</v>
      </c>
      <c r="Y29" s="159">
        <f t="shared" ref="Y29:AU29" si="13">Y16-X16</f>
        <v>87</v>
      </c>
      <c r="Z29" s="159">
        <f t="shared" si="13"/>
        <v>63</v>
      </c>
      <c r="AA29" s="159">
        <f t="shared" si="13"/>
        <v>70</v>
      </c>
      <c r="AB29" s="159">
        <f t="shared" si="13"/>
        <v>24</v>
      </c>
      <c r="AC29" s="159">
        <f t="shared" si="13"/>
        <v>3</v>
      </c>
      <c r="AD29" s="159">
        <f t="shared" si="13"/>
        <v>4</v>
      </c>
      <c r="AE29" s="159">
        <f t="shared" si="13"/>
        <v>11</v>
      </c>
      <c r="AF29" s="159">
        <f t="shared" si="13"/>
        <v>84</v>
      </c>
      <c r="AG29" s="159">
        <f t="shared" si="13"/>
        <v>-10</v>
      </c>
      <c r="AH29" s="159">
        <f t="shared" si="13"/>
        <v>0</v>
      </c>
      <c r="AI29" s="159">
        <f t="shared" si="13"/>
        <v>10</v>
      </c>
      <c r="AJ29" s="159">
        <f t="shared" si="13"/>
        <v>30</v>
      </c>
      <c r="AK29" s="159">
        <f t="shared" si="13"/>
        <v>50</v>
      </c>
      <c r="AL29" s="159">
        <f t="shared" si="13"/>
        <v>40</v>
      </c>
      <c r="AM29" s="159">
        <f t="shared" si="13"/>
        <v>50</v>
      </c>
      <c r="AN29" s="159">
        <f t="shared" si="13"/>
        <v>40</v>
      </c>
      <c r="AO29" s="159">
        <f>AO16-AN16</f>
        <v>60</v>
      </c>
      <c r="AP29" s="159">
        <f t="shared" si="13"/>
        <v>80</v>
      </c>
      <c r="AQ29" s="159">
        <f t="shared" si="13"/>
        <v>0</v>
      </c>
      <c r="AR29" s="159">
        <f t="shared" si="13"/>
        <v>0</v>
      </c>
      <c r="AS29" s="159">
        <f t="shared" si="13"/>
        <v>0</v>
      </c>
      <c r="AT29" s="159">
        <f t="shared" si="13"/>
        <v>100</v>
      </c>
      <c r="AU29" s="159">
        <f t="shared" si="13"/>
        <v>0</v>
      </c>
      <c r="AV29" s="158"/>
    </row>
    <row r="30" spans="1:50" s="157" customFormat="1" x14ac:dyDescent="0.25">
      <c r="A30" s="97" t="s">
        <v>365</v>
      </c>
      <c r="C30" s="158"/>
      <c r="D30" s="159"/>
      <c r="E30" s="159"/>
      <c r="F30" s="159"/>
      <c r="G30" s="159"/>
      <c r="H30" s="159"/>
      <c r="I30" s="159"/>
      <c r="J30" s="159"/>
      <c r="K30" s="159"/>
      <c r="L30" s="159"/>
      <c r="M30" s="159"/>
      <c r="N30" s="159"/>
      <c r="O30" s="159"/>
      <c r="P30" s="159"/>
      <c r="Q30" s="159"/>
      <c r="R30" s="159"/>
      <c r="S30" s="159"/>
      <c r="T30" s="159"/>
      <c r="U30" s="159"/>
      <c r="V30" s="159"/>
      <c r="W30" s="159"/>
      <c r="X30" s="159">
        <f>X17-W17</f>
        <v>903</v>
      </c>
      <c r="Y30" s="159">
        <f t="shared" ref="Y30:AU30" si="14">Y17-X17</f>
        <v>-1700</v>
      </c>
      <c r="Z30" s="159">
        <f t="shared" si="14"/>
        <v>900</v>
      </c>
      <c r="AA30" s="159">
        <f t="shared" si="14"/>
        <v>1000</v>
      </c>
      <c r="AB30" s="159">
        <f t="shared" si="14"/>
        <v>100</v>
      </c>
      <c r="AC30" s="159">
        <f t="shared" si="14"/>
        <v>1500</v>
      </c>
      <c r="AD30" s="159">
        <f t="shared" si="14"/>
        <v>-1100</v>
      </c>
      <c r="AE30" s="159">
        <f t="shared" si="14"/>
        <v>1200</v>
      </c>
      <c r="AF30" s="159">
        <f t="shared" si="14"/>
        <v>-1260</v>
      </c>
      <c r="AG30" s="159">
        <f t="shared" si="14"/>
        <v>200</v>
      </c>
      <c r="AH30" s="159">
        <f t="shared" si="14"/>
        <v>1200</v>
      </c>
      <c r="AI30" s="159">
        <f t="shared" si="14"/>
        <v>1000</v>
      </c>
      <c r="AJ30" s="159">
        <f t="shared" si="14"/>
        <v>-1910</v>
      </c>
      <c r="AK30" s="159">
        <f t="shared" si="14"/>
        <v>710</v>
      </c>
      <c r="AL30" s="159">
        <f t="shared" si="14"/>
        <v>1170</v>
      </c>
      <c r="AM30" s="159">
        <f t="shared" si="14"/>
        <v>-120</v>
      </c>
      <c r="AN30" s="159">
        <f t="shared" si="14"/>
        <v>-950</v>
      </c>
      <c r="AO30" s="159">
        <f>AO17-AN17</f>
        <v>170</v>
      </c>
      <c r="AP30" s="159">
        <f t="shared" si="14"/>
        <v>90</v>
      </c>
      <c r="AQ30" s="159">
        <f t="shared" si="14"/>
        <v>100</v>
      </c>
      <c r="AR30" s="159">
        <f t="shared" si="14"/>
        <v>400</v>
      </c>
      <c r="AS30" s="159">
        <f t="shared" si="14"/>
        <v>100</v>
      </c>
      <c r="AT30" s="159">
        <f t="shared" si="14"/>
        <v>-600</v>
      </c>
      <c r="AU30" s="159">
        <f t="shared" si="14"/>
        <v>0</v>
      </c>
      <c r="AV30" s="158"/>
    </row>
    <row r="31" spans="1:50" x14ac:dyDescent="0.25">
      <c r="A31" s="43" t="s">
        <v>371</v>
      </c>
      <c r="C31" s="160"/>
      <c r="D31" s="139">
        <f>AVERAGE(D18,C18)</f>
        <v>49100</v>
      </c>
      <c r="E31" s="139">
        <f t="shared" ref="E31:S31" si="15">AVERAGE(E18,D18)</f>
        <v>51650</v>
      </c>
      <c r="F31" s="139">
        <f t="shared" si="15"/>
        <v>56150</v>
      </c>
      <c r="G31" s="139">
        <f t="shared" si="15"/>
        <v>59300</v>
      </c>
      <c r="H31" s="139">
        <f t="shared" si="15"/>
        <v>64500</v>
      </c>
      <c r="I31" s="139">
        <f t="shared" si="15"/>
        <v>65684</v>
      </c>
      <c r="J31" s="139">
        <f t="shared" si="15"/>
        <v>60562</v>
      </c>
      <c r="K31" s="139">
        <f t="shared" si="15"/>
        <v>58928</v>
      </c>
      <c r="L31" s="139">
        <f t="shared" si="15"/>
        <v>55850</v>
      </c>
      <c r="M31" s="139">
        <f t="shared" si="15"/>
        <v>49050</v>
      </c>
      <c r="N31" s="139">
        <f t="shared" si="15"/>
        <v>43750</v>
      </c>
      <c r="O31" s="139">
        <f t="shared" si="15"/>
        <v>41750</v>
      </c>
      <c r="P31" s="139">
        <f t="shared" si="15"/>
        <v>42250</v>
      </c>
      <c r="Q31" s="139">
        <f t="shared" si="15"/>
        <v>43250</v>
      </c>
      <c r="R31" s="139">
        <f t="shared" si="15"/>
        <v>44500</v>
      </c>
      <c r="S31" s="139">
        <f t="shared" si="15"/>
        <v>45750</v>
      </c>
      <c r="T31" s="139">
        <f t="shared" ref="T31:AI31" si="16">AVERAGE(T18,S18)</f>
        <v>47250</v>
      </c>
      <c r="U31" s="139">
        <f t="shared" si="16"/>
        <v>49250</v>
      </c>
      <c r="V31" s="139">
        <f t="shared" si="16"/>
        <v>51500</v>
      </c>
      <c r="W31" s="139">
        <f t="shared" si="16"/>
        <v>53000</v>
      </c>
      <c r="X31" s="140">
        <f t="shared" si="16"/>
        <v>54000</v>
      </c>
      <c r="Y31" s="140">
        <f t="shared" si="16"/>
        <v>53700</v>
      </c>
      <c r="Z31" s="140">
        <f t="shared" si="16"/>
        <v>53400</v>
      </c>
      <c r="AA31" s="140">
        <f t="shared" si="16"/>
        <v>54400</v>
      </c>
      <c r="AB31" s="140">
        <f t="shared" si="16"/>
        <v>55000</v>
      </c>
      <c r="AC31" s="140">
        <f t="shared" si="16"/>
        <v>55850</v>
      </c>
      <c r="AD31" s="139">
        <f t="shared" si="16"/>
        <v>56050</v>
      </c>
      <c r="AE31" s="139">
        <f t="shared" si="16"/>
        <v>56100</v>
      </c>
      <c r="AF31" s="139">
        <f t="shared" si="16"/>
        <v>56095</v>
      </c>
      <c r="AG31" s="139">
        <f t="shared" si="16"/>
        <v>55580</v>
      </c>
      <c r="AH31" s="139">
        <f t="shared" si="16"/>
        <v>56275</v>
      </c>
      <c r="AI31" s="139">
        <f t="shared" si="16"/>
        <v>57385</v>
      </c>
      <c r="AJ31" s="139">
        <f t="shared" ref="AJ31:AU31" si="17">AVERAGE(AJ18,AI18)</f>
        <v>56950</v>
      </c>
      <c r="AK31" s="139">
        <f t="shared" si="17"/>
        <v>56390</v>
      </c>
      <c r="AL31" s="139">
        <f t="shared" si="17"/>
        <v>57375</v>
      </c>
      <c r="AM31" s="139">
        <f t="shared" si="17"/>
        <v>57945</v>
      </c>
      <c r="AN31" s="139">
        <f t="shared" si="17"/>
        <v>57455</v>
      </c>
      <c r="AO31" s="139">
        <f t="shared" si="17"/>
        <v>57115</v>
      </c>
      <c r="AP31" s="139">
        <f t="shared" si="17"/>
        <v>57315</v>
      </c>
      <c r="AQ31" s="139">
        <f t="shared" si="17"/>
        <v>57450</v>
      </c>
      <c r="AR31" s="139">
        <f t="shared" si="17"/>
        <v>57700</v>
      </c>
      <c r="AS31" s="139">
        <f t="shared" si="17"/>
        <v>57950</v>
      </c>
      <c r="AT31" s="139">
        <f t="shared" si="17"/>
        <v>57750</v>
      </c>
      <c r="AU31" s="139">
        <f t="shared" si="17"/>
        <v>57500</v>
      </c>
      <c r="AV31" s="160"/>
    </row>
    <row r="32" spans="1:50" x14ac:dyDescent="0.25">
      <c r="A32" s="36" t="s">
        <v>370</v>
      </c>
      <c r="B32" s="36"/>
      <c r="C32" s="161"/>
      <c r="D32" s="162"/>
      <c r="E32" s="144">
        <f t="shared" ref="E32:V32" si="18">E18-D18</f>
        <v>5100</v>
      </c>
      <c r="F32" s="144">
        <f t="shared" si="18"/>
        <v>3900</v>
      </c>
      <c r="G32" s="144">
        <f t="shared" si="18"/>
        <v>2400</v>
      </c>
      <c r="H32" s="144">
        <f t="shared" si="18"/>
        <v>8000</v>
      </c>
      <c r="I32" s="144">
        <f t="shared" si="18"/>
        <v>-5632</v>
      </c>
      <c r="J32" s="144">
        <f t="shared" si="18"/>
        <v>-4612</v>
      </c>
      <c r="K32" s="144">
        <f t="shared" si="18"/>
        <v>1344</v>
      </c>
      <c r="L32" s="144">
        <f t="shared" si="18"/>
        <v>-7500</v>
      </c>
      <c r="M32" s="144">
        <f t="shared" si="18"/>
        <v>-6100</v>
      </c>
      <c r="N32" s="144">
        <f t="shared" si="18"/>
        <v>-4500</v>
      </c>
      <c r="O32" s="144">
        <f t="shared" si="18"/>
        <v>500</v>
      </c>
      <c r="P32" s="144">
        <f t="shared" si="18"/>
        <v>500</v>
      </c>
      <c r="Q32" s="144">
        <f t="shared" si="18"/>
        <v>1500</v>
      </c>
      <c r="R32" s="144">
        <f t="shared" si="18"/>
        <v>1000</v>
      </c>
      <c r="S32" s="144">
        <f t="shared" si="18"/>
        <v>1500</v>
      </c>
      <c r="T32" s="144">
        <f t="shared" si="18"/>
        <v>1500</v>
      </c>
      <c r="U32" s="144">
        <f t="shared" si="18"/>
        <v>2500</v>
      </c>
      <c r="V32" s="144">
        <f t="shared" si="18"/>
        <v>2000</v>
      </c>
      <c r="W32" s="144">
        <f t="shared" ref="W32:AI32" si="19">W18-V18</f>
        <v>1000</v>
      </c>
      <c r="X32" s="145">
        <f t="shared" si="19"/>
        <v>1000</v>
      </c>
      <c r="Y32" s="145">
        <f t="shared" si="19"/>
        <v>-1600</v>
      </c>
      <c r="Z32" s="145">
        <f t="shared" si="19"/>
        <v>1000</v>
      </c>
      <c r="AA32" s="145">
        <f t="shared" si="19"/>
        <v>1000</v>
      </c>
      <c r="AB32" s="145">
        <f t="shared" si="19"/>
        <v>200</v>
      </c>
      <c r="AC32" s="145">
        <f t="shared" si="19"/>
        <v>1500</v>
      </c>
      <c r="AD32" s="144">
        <f t="shared" si="19"/>
        <v>-1100</v>
      </c>
      <c r="AE32" s="144">
        <f t="shared" si="19"/>
        <v>1200</v>
      </c>
      <c r="AF32" s="144">
        <f t="shared" si="19"/>
        <v>-1210</v>
      </c>
      <c r="AG32" s="144">
        <f t="shared" si="19"/>
        <v>180</v>
      </c>
      <c r="AH32" s="144">
        <f t="shared" si="19"/>
        <v>1210</v>
      </c>
      <c r="AI32" s="144">
        <f t="shared" si="19"/>
        <v>1010</v>
      </c>
      <c r="AJ32" s="144">
        <f t="shared" ref="AJ32:AU32" si="20">AJ18-AI18</f>
        <v>-1880</v>
      </c>
      <c r="AK32" s="144">
        <f t="shared" si="20"/>
        <v>760</v>
      </c>
      <c r="AL32" s="144">
        <f t="shared" si="20"/>
        <v>1210</v>
      </c>
      <c r="AM32" s="144">
        <f t="shared" si="20"/>
        <v>-70</v>
      </c>
      <c r="AN32" s="144">
        <f t="shared" si="20"/>
        <v>-910</v>
      </c>
      <c r="AO32" s="144">
        <f t="shared" si="20"/>
        <v>230</v>
      </c>
      <c r="AP32" s="144">
        <f t="shared" si="20"/>
        <v>170</v>
      </c>
      <c r="AQ32" s="144">
        <f t="shared" si="20"/>
        <v>100</v>
      </c>
      <c r="AR32" s="144">
        <f t="shared" si="20"/>
        <v>400</v>
      </c>
      <c r="AS32" s="144">
        <f t="shared" si="20"/>
        <v>100</v>
      </c>
      <c r="AT32" s="144">
        <f t="shared" si="20"/>
        <v>-500</v>
      </c>
      <c r="AU32" s="144">
        <f t="shared" si="20"/>
        <v>0</v>
      </c>
      <c r="AV32" s="163"/>
      <c r="AW32" s="36"/>
    </row>
    <row r="33" spans="1:49" x14ac:dyDescent="0.25">
      <c r="A33" s="43" t="s">
        <v>7</v>
      </c>
      <c r="C33" s="134"/>
      <c r="D33" s="119"/>
      <c r="E33" s="119"/>
      <c r="F33" s="119"/>
      <c r="G33" s="119"/>
      <c r="H33" s="151">
        <f t="shared" ref="H33:S33" si="21">H18/D18-1</f>
        <v>0.39511201629327908</v>
      </c>
      <c r="I33" s="151">
        <f t="shared" si="21"/>
        <v>0.1599261992619927</v>
      </c>
      <c r="J33" s="151">
        <f t="shared" si="21"/>
        <v>2.6850258175559194E-3</v>
      </c>
      <c r="K33" s="151">
        <f t="shared" si="21"/>
        <v>-1.4876033057851235E-2</v>
      </c>
      <c r="L33" s="151">
        <f t="shared" si="21"/>
        <v>-0.23941605839416058</v>
      </c>
      <c r="M33" s="151">
        <f t="shared" si="21"/>
        <v>-0.26830820131068267</v>
      </c>
      <c r="N33" s="151">
        <f t="shared" si="21"/>
        <v>-0.28762702554243336</v>
      </c>
      <c r="O33" s="151">
        <f t="shared" si="21"/>
        <v>-0.29530201342281881</v>
      </c>
      <c r="P33" s="151">
        <f t="shared" si="21"/>
        <v>-0.18426103646833014</v>
      </c>
      <c r="Q33" s="151">
        <f t="shared" si="21"/>
        <v>-4.3478260869565188E-2</v>
      </c>
      <c r="R33" s="151">
        <f t="shared" si="21"/>
        <v>8.43373493975903E-2</v>
      </c>
      <c r="S33" s="151">
        <f t="shared" si="21"/>
        <v>0.10714285714285721</v>
      </c>
      <c r="T33" s="151">
        <f t="shared" ref="T33:AI33" si="22">T18/P18-1</f>
        <v>0.12941176470588234</v>
      </c>
      <c r="U33" s="151">
        <f t="shared" si="22"/>
        <v>0.14772727272727271</v>
      </c>
      <c r="V33" s="151">
        <f t="shared" si="22"/>
        <v>0.16666666666666674</v>
      </c>
      <c r="W33" s="151">
        <f t="shared" si="22"/>
        <v>0.15053763440860224</v>
      </c>
      <c r="X33" s="244">
        <f t="shared" si="22"/>
        <v>0.13541666666666674</v>
      </c>
      <c r="Y33" s="244">
        <f t="shared" si="22"/>
        <v>4.7524752475247567E-2</v>
      </c>
      <c r="Z33" s="244">
        <f t="shared" si="22"/>
        <v>2.6666666666666616E-2</v>
      </c>
      <c r="AA33" s="244">
        <f t="shared" si="22"/>
        <v>2.6168224299065512E-2</v>
      </c>
      <c r="AB33" s="244">
        <f t="shared" si="22"/>
        <v>1.1009174311926495E-2</v>
      </c>
      <c r="AC33" s="244">
        <f t="shared" si="22"/>
        <v>6.9943289224952743E-2</v>
      </c>
      <c r="AD33" s="151">
        <f t="shared" si="22"/>
        <v>2.9684601113172615E-2</v>
      </c>
      <c r="AE33" s="151">
        <f t="shared" si="22"/>
        <v>3.2786885245901676E-2</v>
      </c>
      <c r="AF33" s="151">
        <f t="shared" si="22"/>
        <v>7.0780399274046335E-3</v>
      </c>
      <c r="AG33" s="151">
        <f t="shared" si="22"/>
        <v>-1.6431095406360452E-2</v>
      </c>
      <c r="AH33" s="151">
        <f t="shared" si="22"/>
        <v>2.4864864864864833E-2</v>
      </c>
      <c r="AI33" s="151">
        <f t="shared" si="22"/>
        <v>2.0987654320987703E-2</v>
      </c>
      <c r="AJ33" s="151">
        <f t="shared" ref="AJ33:AU33" si="23">AJ18/AF18-1</f>
        <v>9.3710578482608664E-3</v>
      </c>
      <c r="AK33" s="151">
        <f t="shared" si="23"/>
        <v>1.975929585054792E-2</v>
      </c>
      <c r="AL33" s="151">
        <f t="shared" si="23"/>
        <v>1.9338959212376938E-2</v>
      </c>
      <c r="AM33" s="151">
        <f t="shared" si="23"/>
        <v>3.4548281223001354E-4</v>
      </c>
      <c r="AN33" s="151">
        <f t="shared" si="23"/>
        <v>1.7675415104445591E-2</v>
      </c>
      <c r="AO33" s="151">
        <f t="shared" si="23"/>
        <v>8.1028712348070187E-3</v>
      </c>
      <c r="AP33" s="151">
        <f t="shared" si="23"/>
        <v>-1.0003449465332825E-2</v>
      </c>
      <c r="AQ33" s="151">
        <f t="shared" si="23"/>
        <v>-7.0799516491106829E-3</v>
      </c>
      <c r="AR33" s="151">
        <f t="shared" si="23"/>
        <v>1.5789473684210575E-2</v>
      </c>
      <c r="AS33" s="151">
        <f t="shared" si="23"/>
        <v>1.3454481915079475E-2</v>
      </c>
      <c r="AT33" s="151">
        <f t="shared" si="23"/>
        <v>1.7421602787457413E-3</v>
      </c>
      <c r="AU33" s="151">
        <f t="shared" si="23"/>
        <v>0</v>
      </c>
      <c r="AV33" s="134"/>
    </row>
    <row r="34" spans="1:49" x14ac:dyDescent="0.25">
      <c r="C34" s="134"/>
      <c r="D34" s="119"/>
      <c r="E34" s="119"/>
      <c r="F34" s="119"/>
      <c r="G34" s="119"/>
      <c r="H34" s="119"/>
      <c r="I34" s="119"/>
      <c r="J34" s="119"/>
      <c r="K34" s="119"/>
      <c r="L34" s="119"/>
      <c r="M34" s="119"/>
      <c r="N34" s="119"/>
      <c r="O34" s="119"/>
      <c r="P34" s="119"/>
      <c r="Q34" s="119"/>
      <c r="R34" s="119"/>
      <c r="S34" s="119"/>
      <c r="T34" s="119"/>
      <c r="U34" s="119"/>
      <c r="V34" s="119"/>
      <c r="W34" s="119"/>
      <c r="X34" s="120"/>
      <c r="Y34" s="120"/>
      <c r="Z34" s="120"/>
      <c r="AA34" s="120"/>
      <c r="AB34" s="120"/>
      <c r="AC34" s="120"/>
      <c r="AD34" s="119"/>
      <c r="AE34" s="119"/>
      <c r="AF34" s="119"/>
      <c r="AG34" s="119"/>
      <c r="AH34" s="119"/>
      <c r="AI34" s="119"/>
      <c r="AJ34" s="119"/>
      <c r="AK34" s="119"/>
      <c r="AL34" s="119"/>
      <c r="AM34" s="119"/>
      <c r="AN34" s="119"/>
      <c r="AO34" s="119"/>
      <c r="AP34" s="119"/>
      <c r="AQ34" s="119"/>
      <c r="AR34" s="119"/>
      <c r="AS34" s="119"/>
      <c r="AT34" s="119"/>
      <c r="AU34" s="119"/>
      <c r="AV34" s="134"/>
    </row>
    <row r="35" spans="1:49" x14ac:dyDescent="0.25">
      <c r="A35" s="43" t="s">
        <v>392</v>
      </c>
      <c r="C35" s="134"/>
      <c r="D35" s="119"/>
      <c r="E35" s="119"/>
      <c r="F35" s="119"/>
      <c r="G35" s="119"/>
      <c r="H35" s="119"/>
      <c r="I35" s="119"/>
      <c r="J35" s="119"/>
      <c r="K35" s="119"/>
      <c r="L35" s="119"/>
      <c r="M35" s="119"/>
      <c r="N35" s="119"/>
      <c r="O35" s="119"/>
      <c r="P35" s="119"/>
      <c r="Q35" s="119"/>
      <c r="R35" s="119"/>
      <c r="S35" s="119"/>
      <c r="T35" s="119"/>
      <c r="U35" s="119"/>
      <c r="V35" s="119"/>
      <c r="W35" s="119"/>
      <c r="X35" s="244">
        <f t="shared" ref="X35:AG36" si="24">X21/T21-1</f>
        <v>-0.14516129032258063</v>
      </c>
      <c r="Y35" s="244">
        <f t="shared" si="24"/>
        <v>-4.629629629629628E-2</v>
      </c>
      <c r="Z35" s="244">
        <f t="shared" si="24"/>
        <v>-8.8495575221238965E-2</v>
      </c>
      <c r="AA35" s="244">
        <f t="shared" si="24"/>
        <v>-7.2072072072072113E-2</v>
      </c>
      <c r="AB35" s="244">
        <f t="shared" si="24"/>
        <v>7.547169811320753E-2</v>
      </c>
      <c r="AC35" s="244">
        <f t="shared" si="24"/>
        <v>5.8252427184465994E-2</v>
      </c>
      <c r="AD35" s="244">
        <f t="shared" si="24"/>
        <v>7.7669902912621325E-2</v>
      </c>
      <c r="AE35" s="244">
        <f t="shared" si="24"/>
        <v>5.8252427184465994E-2</v>
      </c>
      <c r="AF35" s="244">
        <f t="shared" si="24"/>
        <v>0</v>
      </c>
      <c r="AG35" s="244">
        <f t="shared" si="24"/>
        <v>1.8348623853210899E-2</v>
      </c>
      <c r="AH35" s="244">
        <f t="shared" ref="AH35:AU36" si="25">AH21/AD21-1</f>
        <v>-9.009009009009028E-3</v>
      </c>
      <c r="AI35" s="244">
        <f t="shared" si="25"/>
        <v>9.1743119266054496E-3</v>
      </c>
      <c r="AJ35" s="244">
        <f t="shared" si="25"/>
        <v>-5.2631578947368474E-2</v>
      </c>
      <c r="AK35" s="244">
        <f t="shared" si="25"/>
        <v>-2.7027027027026973E-2</v>
      </c>
      <c r="AL35" s="244">
        <f t="shared" si="25"/>
        <v>-4.5454545454545414E-2</v>
      </c>
      <c r="AM35" s="244">
        <f t="shared" si="25"/>
        <v>-3.6363636363636376E-2</v>
      </c>
      <c r="AN35" s="244">
        <f t="shared" si="25"/>
        <v>-9.259259259259256E-2</v>
      </c>
      <c r="AO35" s="244">
        <f t="shared" si="25"/>
        <v>-0.10185185185185186</v>
      </c>
      <c r="AP35" s="244">
        <f t="shared" si="25"/>
        <v>-8.5714285714285743E-2</v>
      </c>
      <c r="AQ35" s="244">
        <f t="shared" si="25"/>
        <v>-0.13207547169811318</v>
      </c>
      <c r="AR35" s="244">
        <f t="shared" ref="AR35:AS36" si="26">AR21/AN21-1</f>
        <v>-7.1428571428571397E-2</v>
      </c>
      <c r="AS35" s="244">
        <f t="shared" si="25"/>
        <v>-7.2164948453608213E-2</v>
      </c>
      <c r="AT35" s="244">
        <f t="shared" si="25"/>
        <v>-6.25E-2</v>
      </c>
      <c r="AU35" s="244">
        <f t="shared" si="25"/>
        <v>-5.4347826086956541E-2</v>
      </c>
      <c r="AV35" s="134"/>
    </row>
    <row r="36" spans="1:49" x14ac:dyDescent="0.25">
      <c r="A36" s="43" t="s">
        <v>393</v>
      </c>
      <c r="C36" s="134"/>
      <c r="D36" s="119"/>
      <c r="E36" s="119"/>
      <c r="F36" s="119"/>
      <c r="G36" s="119"/>
      <c r="H36" s="119"/>
      <c r="I36" s="119"/>
      <c r="J36" s="119"/>
      <c r="K36" s="119"/>
      <c r="L36" s="119"/>
      <c r="M36" s="119"/>
      <c r="N36" s="119"/>
      <c r="O36" s="119"/>
      <c r="P36" s="119"/>
      <c r="Q36" s="119"/>
      <c r="R36" s="119"/>
      <c r="S36" s="119"/>
      <c r="T36" s="119"/>
      <c r="U36" s="119"/>
      <c r="V36" s="119"/>
      <c r="W36" s="119"/>
      <c r="X36" s="244">
        <f t="shared" si="24"/>
        <v>-9.375E-2</v>
      </c>
      <c r="Y36" s="244">
        <f t="shared" si="24"/>
        <v>-0.11764705882352944</v>
      </c>
      <c r="Z36" s="244">
        <f t="shared" si="24"/>
        <v>-9.0909090909090939E-2</v>
      </c>
      <c r="AA36" s="244">
        <f t="shared" si="24"/>
        <v>-6.0606060606060552E-2</v>
      </c>
      <c r="AB36" s="244">
        <f t="shared" si="24"/>
        <v>6.8965517241379226E-2</v>
      </c>
      <c r="AC36" s="244">
        <f t="shared" si="24"/>
        <v>0.10000000000000009</v>
      </c>
      <c r="AD36" s="244">
        <f t="shared" si="24"/>
        <v>0.1333333333333333</v>
      </c>
      <c r="AE36" s="244">
        <f t="shared" si="24"/>
        <v>9.6774193548387011E-2</v>
      </c>
      <c r="AF36" s="244">
        <f t="shared" si="24"/>
        <v>9.6774193548387011E-2</v>
      </c>
      <c r="AG36" s="244">
        <f t="shared" si="24"/>
        <v>9.0909090909090828E-2</v>
      </c>
      <c r="AH36" s="244">
        <f t="shared" si="25"/>
        <v>2.9411764705882248E-2</v>
      </c>
      <c r="AI36" s="244">
        <f t="shared" si="25"/>
        <v>-2.9411764705882359E-2</v>
      </c>
      <c r="AJ36" s="244">
        <f t="shared" si="25"/>
        <v>-2.9411764705882359E-2</v>
      </c>
      <c r="AK36" s="244">
        <f t="shared" si="25"/>
        <v>0</v>
      </c>
      <c r="AL36" s="244">
        <f t="shared" si="25"/>
        <v>2.857142857142847E-2</v>
      </c>
      <c r="AM36" s="244">
        <f t="shared" si="25"/>
        <v>9.0909090909090828E-2</v>
      </c>
      <c r="AN36" s="244">
        <f t="shared" si="25"/>
        <v>9.0909090909090828E-2</v>
      </c>
      <c r="AO36" s="244">
        <f t="shared" si="25"/>
        <v>5.555555555555558E-2</v>
      </c>
      <c r="AP36" s="244">
        <f t="shared" si="25"/>
        <v>5.555555555555558E-2</v>
      </c>
      <c r="AQ36" s="244">
        <f t="shared" si="25"/>
        <v>5.555555555555558E-2</v>
      </c>
      <c r="AR36" s="244">
        <f t="shared" si="26"/>
        <v>5.555555555555558E-2</v>
      </c>
      <c r="AS36" s="244">
        <f t="shared" si="26"/>
        <v>5.2631578947368363E-2</v>
      </c>
      <c r="AT36" s="244">
        <f t="shared" si="25"/>
        <v>5.2631578947368363E-2</v>
      </c>
      <c r="AU36" s="244">
        <f t="shared" si="25"/>
        <v>7.8947368421052655E-2</v>
      </c>
      <c r="AV36" s="134"/>
    </row>
    <row r="37" spans="1:49" x14ac:dyDescent="0.25">
      <c r="A37" s="36" t="s">
        <v>9</v>
      </c>
      <c r="B37" s="36"/>
      <c r="C37" s="164"/>
      <c r="D37" s="118"/>
      <c r="E37" s="118"/>
      <c r="F37" s="118"/>
      <c r="G37" s="118"/>
      <c r="H37" s="245">
        <f t="shared" ref="H37:S37" si="27">H20/D20-1</f>
        <v>-0.14814814814814814</v>
      </c>
      <c r="I37" s="245">
        <f t="shared" si="27"/>
        <v>-7.407407407407407E-2</v>
      </c>
      <c r="J37" s="245">
        <f t="shared" si="27"/>
        <v>0</v>
      </c>
      <c r="K37" s="245">
        <f t="shared" si="27"/>
        <v>-0.22222222222222221</v>
      </c>
      <c r="L37" s="245">
        <f t="shared" si="27"/>
        <v>0.21739130434782616</v>
      </c>
      <c r="M37" s="245">
        <f t="shared" si="27"/>
        <v>0.28000000000000003</v>
      </c>
      <c r="N37" s="245">
        <f t="shared" si="27"/>
        <v>0.33333333333333326</v>
      </c>
      <c r="O37" s="245">
        <f t="shared" si="27"/>
        <v>0.90476190476190466</v>
      </c>
      <c r="P37" s="245">
        <f t="shared" si="27"/>
        <v>0.39285714285714279</v>
      </c>
      <c r="Q37" s="245">
        <f t="shared" si="27"/>
        <v>9.375E-2</v>
      </c>
      <c r="R37" s="245">
        <f t="shared" si="27"/>
        <v>-5.555555555555558E-2</v>
      </c>
      <c r="S37" s="245">
        <f t="shared" si="27"/>
        <v>-0.19999999999999996</v>
      </c>
      <c r="T37" s="245">
        <f t="shared" ref="T37:AI37" si="28">T20/P20-1</f>
        <v>-0.15384615384615385</v>
      </c>
      <c r="U37" s="245">
        <f t="shared" si="28"/>
        <v>0</v>
      </c>
      <c r="V37" s="245">
        <f t="shared" si="28"/>
        <v>0</v>
      </c>
      <c r="W37" s="245">
        <f t="shared" si="28"/>
        <v>6.25E-2</v>
      </c>
      <c r="X37" s="245">
        <f t="shared" si="28"/>
        <v>-9.0909090909090939E-2</v>
      </c>
      <c r="Y37" s="245">
        <f t="shared" si="28"/>
        <v>-0.11428571428571432</v>
      </c>
      <c r="Z37" s="245">
        <f t="shared" si="28"/>
        <v>-5.8823529411764719E-2</v>
      </c>
      <c r="AA37" s="245">
        <f t="shared" si="28"/>
        <v>-2.9411764705882359E-2</v>
      </c>
      <c r="AB37" s="245">
        <f t="shared" si="28"/>
        <v>0.10000000000000009</v>
      </c>
      <c r="AC37" s="245">
        <f t="shared" si="28"/>
        <v>9.6774193548387011E-2</v>
      </c>
      <c r="AD37" s="245">
        <f t="shared" si="28"/>
        <v>9.375E-2</v>
      </c>
      <c r="AE37" s="245">
        <f t="shared" si="28"/>
        <v>9.0909090909090828E-2</v>
      </c>
      <c r="AF37" s="245">
        <f t="shared" si="28"/>
        <v>9.0909090909090828E-2</v>
      </c>
      <c r="AG37" s="245">
        <f t="shared" si="28"/>
        <v>8.8235294117646967E-2</v>
      </c>
      <c r="AH37" s="245">
        <f t="shared" si="28"/>
        <v>2.857142857142847E-2</v>
      </c>
      <c r="AI37" s="245">
        <f t="shared" si="28"/>
        <v>-5.555555555555558E-2</v>
      </c>
      <c r="AJ37" s="245">
        <f t="shared" ref="AJ37:AU37" si="29">AJ20/AF20-1</f>
        <v>-2.777777777777779E-2</v>
      </c>
      <c r="AK37" s="245">
        <f t="shared" si="29"/>
        <v>0</v>
      </c>
      <c r="AL37" s="245">
        <f t="shared" si="29"/>
        <v>2.7777777777777679E-2</v>
      </c>
      <c r="AM37" s="245">
        <f t="shared" si="29"/>
        <v>8.8235294117646967E-2</v>
      </c>
      <c r="AN37" s="245">
        <f t="shared" si="29"/>
        <v>2.857142857142847E-2</v>
      </c>
      <c r="AO37" s="245">
        <f t="shared" si="29"/>
        <v>5.4054054054053946E-2</v>
      </c>
      <c r="AP37" s="245">
        <f t="shared" si="29"/>
        <v>8.1081081081081141E-2</v>
      </c>
      <c r="AQ37" s="245">
        <f t="shared" si="29"/>
        <v>8.1081081081081141E-2</v>
      </c>
      <c r="AR37" s="245">
        <f>AR20/AN20-1</f>
        <v>0.11111111111111116</v>
      </c>
      <c r="AS37" s="245">
        <f t="shared" si="29"/>
        <v>7.6923076923076872E-2</v>
      </c>
      <c r="AT37" s="245">
        <f t="shared" si="29"/>
        <v>5.0000000000000044E-2</v>
      </c>
      <c r="AU37" s="245">
        <f t="shared" si="29"/>
        <v>7.4999999999999956E-2</v>
      </c>
      <c r="AV37" s="134"/>
    </row>
    <row r="38" spans="1:49" x14ac:dyDescent="0.25">
      <c r="A38" s="43" t="s">
        <v>125</v>
      </c>
      <c r="C38" s="134"/>
      <c r="D38" s="119"/>
      <c r="E38" s="151">
        <f>E20/D20-1</f>
        <v>0</v>
      </c>
      <c r="F38" s="151">
        <f t="shared" ref="F38:S38" si="30">F20/E20-1</f>
        <v>0</v>
      </c>
      <c r="G38" s="151">
        <f t="shared" si="30"/>
        <v>0</v>
      </c>
      <c r="H38" s="151">
        <f t="shared" si="30"/>
        <v>-0.14814814814814814</v>
      </c>
      <c r="I38" s="151">
        <f t="shared" si="30"/>
        <v>8.6956521739130377E-2</v>
      </c>
      <c r="J38" s="151">
        <f t="shared" si="30"/>
        <v>8.0000000000000071E-2</v>
      </c>
      <c r="K38" s="151">
        <f t="shared" si="30"/>
        <v>-0.22222222222222221</v>
      </c>
      <c r="L38" s="151">
        <f t="shared" si="30"/>
        <v>0.33333333333333326</v>
      </c>
      <c r="M38" s="151">
        <f t="shared" si="30"/>
        <v>0.14285714285714279</v>
      </c>
      <c r="N38" s="151">
        <f t="shared" si="30"/>
        <v>0.125</v>
      </c>
      <c r="O38" s="244">
        <f t="shared" si="30"/>
        <v>0.11111111111111116</v>
      </c>
      <c r="P38" s="244">
        <f t="shared" si="30"/>
        <v>-2.5000000000000022E-2</v>
      </c>
      <c r="Q38" s="244">
        <f t="shared" si="30"/>
        <v>-0.10256410256410253</v>
      </c>
      <c r="R38" s="244">
        <f t="shared" si="30"/>
        <v>-2.8571428571428581E-2</v>
      </c>
      <c r="S38" s="244">
        <f t="shared" si="30"/>
        <v>-5.8823529411764719E-2</v>
      </c>
      <c r="T38" s="244">
        <f t="shared" ref="T38:AI38" si="31">T20/S20-1</f>
        <v>3.125E-2</v>
      </c>
      <c r="U38" s="244">
        <f t="shared" si="31"/>
        <v>6.0606060606060552E-2</v>
      </c>
      <c r="V38" s="244">
        <f t="shared" si="31"/>
        <v>-2.8571428571428581E-2</v>
      </c>
      <c r="W38" s="244">
        <f t="shared" si="31"/>
        <v>0</v>
      </c>
      <c r="X38" s="244">
        <f t="shared" si="31"/>
        <v>-0.11764705882352944</v>
      </c>
      <c r="Y38" s="244">
        <f t="shared" si="31"/>
        <v>3.3333333333333437E-2</v>
      </c>
      <c r="Z38" s="244">
        <f t="shared" si="31"/>
        <v>3.2258064516129004E-2</v>
      </c>
      <c r="AA38" s="244">
        <f t="shared" si="31"/>
        <v>3.125E-2</v>
      </c>
      <c r="AB38" s="244">
        <f t="shared" si="31"/>
        <v>0</v>
      </c>
      <c r="AC38" s="244">
        <f t="shared" si="31"/>
        <v>3.0303030303030276E-2</v>
      </c>
      <c r="AD38" s="244">
        <f t="shared" si="31"/>
        <v>2.9411764705882248E-2</v>
      </c>
      <c r="AE38" s="244">
        <f t="shared" si="31"/>
        <v>2.857142857142847E-2</v>
      </c>
      <c r="AF38" s="244">
        <f t="shared" si="31"/>
        <v>0</v>
      </c>
      <c r="AG38" s="244">
        <f t="shared" si="31"/>
        <v>2.7777777777777679E-2</v>
      </c>
      <c r="AH38" s="244">
        <f t="shared" si="31"/>
        <v>-2.7027027027026973E-2</v>
      </c>
      <c r="AI38" s="244">
        <f t="shared" si="31"/>
        <v>-5.555555555555558E-2</v>
      </c>
      <c r="AJ38" s="244">
        <f t="shared" ref="AJ38:AU38" si="32">AJ20/AI20-1</f>
        <v>2.9411764705882248E-2</v>
      </c>
      <c r="AK38" s="244">
        <f t="shared" si="32"/>
        <v>5.7142857142857162E-2</v>
      </c>
      <c r="AL38" s="244">
        <f t="shared" si="32"/>
        <v>0</v>
      </c>
      <c r="AM38" s="244">
        <f t="shared" si="32"/>
        <v>0</v>
      </c>
      <c r="AN38" s="244">
        <f t="shared" si="32"/>
        <v>-2.7027027027026973E-2</v>
      </c>
      <c r="AO38" s="244">
        <f t="shared" si="32"/>
        <v>8.3333333333333259E-2</v>
      </c>
      <c r="AP38" s="244">
        <f t="shared" si="32"/>
        <v>2.564102564102555E-2</v>
      </c>
      <c r="AQ38" s="244">
        <f t="shared" si="32"/>
        <v>0</v>
      </c>
      <c r="AR38" s="244">
        <f t="shared" si="32"/>
        <v>0</v>
      </c>
      <c r="AS38" s="244">
        <f t="shared" si="32"/>
        <v>5.0000000000000044E-2</v>
      </c>
      <c r="AT38" s="244">
        <f t="shared" si="32"/>
        <v>0</v>
      </c>
      <c r="AU38" s="244">
        <f t="shared" si="32"/>
        <v>2.3809523809523725E-2</v>
      </c>
      <c r="AV38" s="134"/>
      <c r="AW38" s="36"/>
    </row>
    <row r="39" spans="1:49" x14ac:dyDescent="0.25">
      <c r="C39" s="134"/>
      <c r="D39" s="119"/>
      <c r="E39" s="119"/>
      <c r="F39" s="119"/>
      <c r="G39" s="119"/>
      <c r="H39" s="119"/>
      <c r="I39" s="119"/>
      <c r="J39" s="119"/>
      <c r="K39" s="119"/>
      <c r="L39" s="119"/>
      <c r="M39" s="119"/>
      <c r="N39" s="119"/>
      <c r="O39" s="120"/>
      <c r="P39" s="120"/>
      <c r="Q39" s="120"/>
      <c r="R39" s="120"/>
      <c r="S39" s="120"/>
      <c r="T39" s="120"/>
      <c r="U39" s="120"/>
      <c r="V39" s="120"/>
      <c r="W39" s="120"/>
      <c r="X39" s="120"/>
      <c r="Y39" s="120"/>
      <c r="Z39" s="120"/>
      <c r="AA39" s="120"/>
      <c r="AB39" s="120"/>
      <c r="AC39" s="120"/>
      <c r="AD39" s="120"/>
      <c r="AE39" s="120"/>
      <c r="AF39" s="120"/>
      <c r="AG39" s="120"/>
      <c r="AH39" s="120"/>
      <c r="AI39" s="120"/>
      <c r="AJ39" s="120"/>
      <c r="AK39" s="120"/>
      <c r="AL39" s="120"/>
      <c r="AM39" s="120"/>
      <c r="AN39" s="120"/>
      <c r="AO39" s="120"/>
      <c r="AP39" s="120"/>
      <c r="AQ39" s="120"/>
      <c r="AR39" s="120"/>
      <c r="AS39" s="120"/>
      <c r="AT39" s="120"/>
      <c r="AU39" s="120"/>
      <c r="AV39" s="134"/>
      <c r="AW39" s="36"/>
    </row>
    <row r="40" spans="1:49" x14ac:dyDescent="0.25">
      <c r="A40" s="43" t="s">
        <v>137</v>
      </c>
      <c r="C40" s="134"/>
      <c r="D40" s="139">
        <f>'Reported Group Highlights'!D13*1000000/'Domestic Mobile Operations'!D31/3</f>
        <v>31310.251188051596</v>
      </c>
      <c r="E40" s="139">
        <f>'Reported Group Highlights'!E13*1000000/'Domestic Mobile Operations'!E31/3</f>
        <v>31668.280090351724</v>
      </c>
      <c r="F40" s="139">
        <f>'Reported Group Highlights'!F13*1000000/'Domestic Mobile Operations'!F31/3</f>
        <v>30958.741466310476</v>
      </c>
      <c r="G40" s="139">
        <f>'Reported Group Highlights'!G13*1000000/'Domestic Mobile Operations'!G31/3</f>
        <v>29331.08487914559</v>
      </c>
      <c r="H40" s="139">
        <f>'Reported Group Highlights'!H13*1000000/'Domestic Mobile Operations'!H31/3</f>
        <v>21932.816537467701</v>
      </c>
      <c r="I40" s="139">
        <f>'Reported Group Highlights'!I13*1000000/'Domestic Mobile Operations'!I31/3</f>
        <v>24907.13111259972</v>
      </c>
      <c r="J40" s="139">
        <f>'Reported Group Highlights'!J13*1000000/'Domestic Mobile Operations'!J31/3</f>
        <v>26986.118908446442</v>
      </c>
      <c r="K40" s="139">
        <f>'Reported Group Highlights'!K13*1000000/'Domestic Mobile Operations'!K31/3</f>
        <v>27451.579328446012</v>
      </c>
      <c r="L40" s="139">
        <f>'Reported Group Highlights'!L13*1000000/'Domestic Mobile Operations'!L31/3</f>
        <v>27108.325872873771</v>
      </c>
      <c r="M40" s="139">
        <f>'Reported Group Highlights'!M13*1000000/'Domestic Mobile Operations'!M31/3</f>
        <v>31838.260278627251</v>
      </c>
      <c r="N40" s="139">
        <f>'Reported Group Highlights'!N13*1000000/'Domestic Mobile Operations'!N31/3</f>
        <v>37592.380952380954</v>
      </c>
      <c r="O40" s="140">
        <f>'Reported Group Highlights'!O13*1000000/'Domestic Mobile Operations'!O31/3</f>
        <v>40175.648702594808</v>
      </c>
      <c r="P40" s="140">
        <f>'Reported Group Highlights'!P13*1000000/'Domestic Mobile Operations'!P31/3</f>
        <v>37719.921104536486</v>
      </c>
      <c r="Q40" s="140">
        <f>'Reported Group Highlights'!Q13*1000000/'Domestic Mobile Operations'!Q31/3</f>
        <v>34443.159922928709</v>
      </c>
      <c r="R40" s="140">
        <f>'Reported Group Highlights'!R13*1000000/'Domestic Mobile Operations'!R31/3</f>
        <v>34000</v>
      </c>
      <c r="S40" s="140">
        <f>'Reported Group Highlights'!S13*1000000/'Domestic Mobile Operations'!S31/3</f>
        <v>33406.193078324228</v>
      </c>
      <c r="T40" s="140">
        <f>'Reported Group Highlights'!T13*1000000/'Domestic Mobile Operations'!T31/3</f>
        <v>32444.444444444442</v>
      </c>
      <c r="U40" s="140">
        <f>'Reported Group Highlights'!U13*1000000/'Domestic Mobile Operations'!U31/3</f>
        <v>34016.920473773265</v>
      </c>
      <c r="V40" s="140">
        <f>'Reported Group Highlights'!V13*1000000/'Domestic Mobile Operations'!V31/3</f>
        <v>34174.7572815534</v>
      </c>
      <c r="W40" s="140">
        <f>'Reported Group Highlights'!W13*1000000/'Domestic Mobile Operations'!W31/3</f>
        <v>33679.245283018863</v>
      </c>
      <c r="X40" s="140">
        <f>'Reported Group Highlights'!X13*1000000/'Domestic Mobile Operations'!X31/3</f>
        <v>29959.277777777777</v>
      </c>
      <c r="Y40" s="140">
        <f>'Reported Group Highlights'!Y13*1000000/'Domestic Mobile Operations'!Y31/3</f>
        <v>30056.654252017383</v>
      </c>
      <c r="Z40" s="140">
        <f>'Reported Group Highlights'!Z13*1000000/'Domestic Mobile Operations'!Z31/3</f>
        <v>31505.705368289637</v>
      </c>
      <c r="AA40" s="140">
        <f>'Reported Group Highlights'!AA13*1000000/'Domestic Mobile Operations'!AA31/3</f>
        <v>32739.681372549021</v>
      </c>
      <c r="AB40" s="140">
        <f>'Reported Group Highlights'!AB13*1000000/'Domestic Mobile Operations'!AB31/3</f>
        <v>32827.218181818178</v>
      </c>
      <c r="AC40" s="140">
        <f>'Reported Group Highlights'!AC13*1000000/'Domestic Mobile Operations'!AC31/3</f>
        <v>34032.855863921221</v>
      </c>
      <c r="AD40" s="140">
        <f>'Reported Group Highlights'!AD13*1000000/'Domestic Mobile Operations'!AD31/3</f>
        <v>35313.886410942614</v>
      </c>
      <c r="AE40" s="140">
        <f>'Reported Group Highlights'!AE13*1000000/'Domestic Mobile Operations'!AE31/3</f>
        <v>35020.386215092105</v>
      </c>
      <c r="AF40" s="140">
        <f>'Reported Group Highlights'!AF13*1000000/'Domestic Mobile Operations'!AF31/3</f>
        <v>35696.550494696501</v>
      </c>
      <c r="AG40" s="140">
        <f>'Reported Group Highlights'!AG13*1000000/'Domestic Mobile Operations'!AG31/3</f>
        <v>37059.020031186279</v>
      </c>
      <c r="AH40" s="140">
        <f>'Reported Group Highlights'!AH13*1000000/'Domestic Mobile Operations'!AH31/3</f>
        <v>36422.573670961057</v>
      </c>
      <c r="AI40" s="140">
        <f>'Reported Group Highlights'!AI13*1000000/'Domestic Mobile Operations'!AI31/3</f>
        <v>34139.577706136908</v>
      </c>
      <c r="AJ40" s="140">
        <f>'Reported Group Highlights'!AJ13*1000000/'Domestic Mobile Operations'!AJ31/3</f>
        <v>33875.0365817969</v>
      </c>
      <c r="AK40" s="140">
        <f>'Reported Group Highlights'!AK13*1000000/'Domestic Mobile Operations'!AK31/3</f>
        <v>37119.897144883849</v>
      </c>
      <c r="AL40" s="140">
        <f>'Reported Group Highlights'!AL13*1000000/'Domestic Mobile Operations'!AL31/3</f>
        <v>36832.580973129989</v>
      </c>
      <c r="AM40" s="140">
        <f>'Reported Group Highlights'!AM13*1000000/'Domestic Mobile Operations'!AM31/3</f>
        <v>36814.237639140563</v>
      </c>
      <c r="AN40" s="140">
        <f>'Reported Group Highlights'!AN13*1000000/'Domestic Mobile Operations'!AN31/3</f>
        <v>37605.906071418212</v>
      </c>
      <c r="AO40" s="140">
        <f>'Reported Group Highlights'!AO13*1000000/'Domestic Mobile Operations'!AO31/3</f>
        <v>40361.463713560363</v>
      </c>
      <c r="AP40" s="140">
        <f>'Reported Group Highlights'!AP13*1000000/'Domestic Mobile Operations'!AP31/3</f>
        <v>41329.779871470528</v>
      </c>
      <c r="AQ40" s="140">
        <f>'Reported Group Highlights'!AQ13*1000000/'Domestic Mobile Operations'!AQ31/3</f>
        <v>42378.47983753989</v>
      </c>
      <c r="AR40" s="140">
        <f>'Reported Group Highlights'!AR13*1000000/'Domestic Mobile Operations'!AR31/3</f>
        <v>42145.401502021952</v>
      </c>
      <c r="AS40" s="140">
        <f>'Reported Group Highlights'!AS13*1000000/'Domestic Mobile Operations'!AS31/3</f>
        <v>45357.73367845844</v>
      </c>
      <c r="AT40" s="140">
        <f>'Reported Group Highlights'!AT13*1000000/'Domestic Mobile Operations'!AT31/3</f>
        <v>44319.365079365089</v>
      </c>
      <c r="AU40" s="140">
        <f>'Reported Group Highlights'!AU13*1000000/'Domestic Mobile Operations'!AU31/3</f>
        <v>46655.582608695644</v>
      </c>
      <c r="AV40" s="160"/>
      <c r="AW40" s="36"/>
    </row>
    <row r="41" spans="1:49" x14ac:dyDescent="0.25">
      <c r="A41" s="43" t="s">
        <v>9</v>
      </c>
      <c r="C41" s="134"/>
      <c r="D41" s="119"/>
      <c r="E41" s="119"/>
      <c r="F41" s="119"/>
      <c r="G41" s="119"/>
      <c r="H41" s="151">
        <f>H40/D40-1</f>
        <v>-0.2995004605444509</v>
      </c>
      <c r="I41" s="151">
        <f t="shared" ref="I41:V41" si="33">I40/E40-1</f>
        <v>-0.21349908989253574</v>
      </c>
      <c r="J41" s="151">
        <f t="shared" si="33"/>
        <v>-0.12831989834557933</v>
      </c>
      <c r="K41" s="151">
        <f t="shared" si="33"/>
        <v>-6.407896463577134E-2</v>
      </c>
      <c r="L41" s="151">
        <f t="shared" si="33"/>
        <v>0.23597103119723717</v>
      </c>
      <c r="M41" s="151">
        <f t="shared" si="33"/>
        <v>0.27827890473187789</v>
      </c>
      <c r="N41" s="151">
        <f t="shared" si="33"/>
        <v>0.39302658081058239</v>
      </c>
      <c r="O41" s="244">
        <f t="shared" si="33"/>
        <v>0.46350955702442209</v>
      </c>
      <c r="P41" s="244">
        <f t="shared" si="33"/>
        <v>0.39145151498570852</v>
      </c>
      <c r="Q41" s="244">
        <f t="shared" si="33"/>
        <v>8.1816645178006242E-2</v>
      </c>
      <c r="R41" s="244">
        <f t="shared" si="33"/>
        <v>-9.5561410620186527E-2</v>
      </c>
      <c r="S41" s="244">
        <f t="shared" si="33"/>
        <v>-0.16849648587835653</v>
      </c>
      <c r="T41" s="244">
        <f t="shared" si="33"/>
        <v>-0.13985916474935511</v>
      </c>
      <c r="U41" s="244">
        <f t="shared" si="33"/>
        <v>-1.2375155186376996E-2</v>
      </c>
      <c r="V41" s="244">
        <f t="shared" si="33"/>
        <v>5.1399200456883065E-3</v>
      </c>
      <c r="W41" s="244">
        <f t="shared" ref="W41:AI41" si="34">W40/S40-1</f>
        <v>8.1737001296267042E-3</v>
      </c>
      <c r="X41" s="244">
        <f t="shared" si="34"/>
        <v>-7.6597602739725934E-2</v>
      </c>
      <c r="Y41" s="244">
        <f t="shared" si="34"/>
        <v>-0.11642048035504016</v>
      </c>
      <c r="Z41" s="244">
        <f t="shared" si="34"/>
        <v>-7.8100098598343104E-2</v>
      </c>
      <c r="AA41" s="244">
        <f t="shared" si="34"/>
        <v>-2.7897415829076566E-2</v>
      </c>
      <c r="AB41" s="244">
        <f t="shared" si="34"/>
        <v>9.5727955303638534E-2</v>
      </c>
      <c r="AC41" s="244">
        <f t="shared" si="34"/>
        <v>0.1322902269349211</v>
      </c>
      <c r="AD41" s="244">
        <f t="shared" si="34"/>
        <v>0.12087274346461374</v>
      </c>
      <c r="AE41" s="244">
        <f t="shared" si="34"/>
        <v>6.9661791041600418E-2</v>
      </c>
      <c r="AF41" s="244">
        <f t="shared" si="34"/>
        <v>8.7407111287533423E-2</v>
      </c>
      <c r="AG41" s="244">
        <f t="shared" si="34"/>
        <v>8.8918901762609526E-2</v>
      </c>
      <c r="AH41" s="244">
        <f t="shared" si="34"/>
        <v>3.1395220767173937E-2</v>
      </c>
      <c r="AI41" s="244">
        <f t="shared" si="34"/>
        <v>-2.5151307685339352E-2</v>
      </c>
      <c r="AJ41" s="244">
        <f t="shared" ref="AJ41:AO41" si="35">AJ40/AF40-1</f>
        <v>-5.1027729224711105E-2</v>
      </c>
      <c r="AK41" s="244">
        <f t="shared" si="35"/>
        <v>1.6427070561051416E-3</v>
      </c>
      <c r="AL41" s="244">
        <f t="shared" si="35"/>
        <v>1.1256955806388413E-2</v>
      </c>
      <c r="AM41" s="244">
        <f t="shared" si="35"/>
        <v>7.8344845270972963E-2</v>
      </c>
      <c r="AN41" s="244">
        <f t="shared" si="35"/>
        <v>0.11013624976057246</v>
      </c>
      <c r="AO41" s="244">
        <f t="shared" si="35"/>
        <v>8.7326927551125699E-2</v>
      </c>
      <c r="AP41" s="244">
        <f t="shared" ref="AP41" si="36">AP40/AL40-1</f>
        <v>0.12209839168266057</v>
      </c>
      <c r="AQ41" s="244">
        <f t="shared" ref="AQ41:AU41" si="37">AQ40/AM40-1</f>
        <v>0.15114375728599838</v>
      </c>
      <c r="AR41" s="244">
        <f t="shared" si="37"/>
        <v>0.12071230040256653</v>
      </c>
      <c r="AS41" s="244">
        <f t="shared" si="37"/>
        <v>0.12378812622743074</v>
      </c>
      <c r="AT41" s="244">
        <f t="shared" si="37"/>
        <v>7.233489307689811E-2</v>
      </c>
      <c r="AU41" s="244">
        <f t="shared" si="37"/>
        <v>0.10092629059730918</v>
      </c>
      <c r="AV41" s="134"/>
      <c r="AW41" s="36"/>
    </row>
    <row r="42" spans="1:49" x14ac:dyDescent="0.25">
      <c r="A42" s="43" t="s">
        <v>125</v>
      </c>
      <c r="C42" s="134"/>
      <c r="D42" s="119"/>
      <c r="E42" s="151">
        <f>E40/D40-1</f>
        <v>1.1434877994104253E-2</v>
      </c>
      <c r="F42" s="151">
        <f t="shared" ref="F42:H42" si="38">F40/E40-1</f>
        <v>-2.2405341307355053E-2</v>
      </c>
      <c r="G42" s="151">
        <f t="shared" si="38"/>
        <v>-5.257502437352346E-2</v>
      </c>
      <c r="H42" s="151">
        <f t="shared" si="38"/>
        <v>-0.25223302759380917</v>
      </c>
      <c r="I42" s="151">
        <f t="shared" ref="I42:V42" si="39">I40/H40-1</f>
        <v>0.13561024276344158</v>
      </c>
      <c r="J42" s="151">
        <f t="shared" si="39"/>
        <v>8.3469580918335007E-2</v>
      </c>
      <c r="K42" s="151">
        <f t="shared" si="39"/>
        <v>1.724814233490557E-2</v>
      </c>
      <c r="L42" s="151">
        <f t="shared" si="39"/>
        <v>-1.2503960208094633E-2</v>
      </c>
      <c r="M42" s="151">
        <f t="shared" si="39"/>
        <v>0.1744827189969167</v>
      </c>
      <c r="N42" s="151">
        <f t="shared" si="39"/>
        <v>0.18072974538801656</v>
      </c>
      <c r="O42" s="244">
        <f t="shared" si="39"/>
        <v>6.8717854117464228E-2</v>
      </c>
      <c r="P42" s="244">
        <f t="shared" si="39"/>
        <v>-6.1124777753737036E-2</v>
      </c>
      <c r="Q42" s="244">
        <f t="shared" si="39"/>
        <v>-8.6870838688304919E-2</v>
      </c>
      <c r="R42" s="244">
        <f t="shared" si="39"/>
        <v>-1.2866413067800453E-2</v>
      </c>
      <c r="S42" s="244">
        <f t="shared" si="39"/>
        <v>-1.7464909461052169E-2</v>
      </c>
      <c r="T42" s="244">
        <f t="shared" si="39"/>
        <v>-2.8789531079607578E-2</v>
      </c>
      <c r="U42" s="244">
        <f t="shared" si="39"/>
        <v>4.8466726931367887E-2</v>
      </c>
      <c r="V42" s="244">
        <f t="shared" si="39"/>
        <v>4.6399499302656189E-3</v>
      </c>
      <c r="W42" s="244">
        <f t="shared" ref="W42:AI42" si="40">W40/V40-1</f>
        <v>-1.4499356775300343E-2</v>
      </c>
      <c r="X42" s="244">
        <f t="shared" si="40"/>
        <v>-0.11045281668222828</v>
      </c>
      <c r="Y42" s="244">
        <f t="shared" si="40"/>
        <v>3.2502944484140706E-3</v>
      </c>
      <c r="Z42" s="244">
        <f t="shared" si="40"/>
        <v>4.8210659247776899E-2</v>
      </c>
      <c r="AA42" s="244">
        <f t="shared" si="40"/>
        <v>3.9166747413989844E-2</v>
      </c>
      <c r="AB42" s="244">
        <f t="shared" si="40"/>
        <v>2.6737220888946034E-3</v>
      </c>
      <c r="AC42" s="244">
        <f t="shared" si="40"/>
        <v>3.6726769701454609E-2</v>
      </c>
      <c r="AD42" s="244">
        <f t="shared" si="40"/>
        <v>3.764099469476001E-2</v>
      </c>
      <c r="AE42" s="244">
        <f t="shared" si="40"/>
        <v>-8.3111836639867542E-3</v>
      </c>
      <c r="AF42" s="244">
        <f t="shared" si="40"/>
        <v>1.9307733371398461E-2</v>
      </c>
      <c r="AG42" s="244">
        <f t="shared" si="40"/>
        <v>3.8168100771871494E-2</v>
      </c>
      <c r="AH42" s="244">
        <f t="shared" si="40"/>
        <v>-1.7173858339741166E-2</v>
      </c>
      <c r="AI42" s="244">
        <f t="shared" si="40"/>
        <v>-6.2680797503454122E-2</v>
      </c>
      <c r="AJ42" s="244">
        <f t="shared" ref="AJ42:AU42" si="41">AJ40/AI40-1</f>
        <v>-7.7488106800001066E-3</v>
      </c>
      <c r="AK42" s="244">
        <f t="shared" si="41"/>
        <v>9.5789138271532126E-2</v>
      </c>
      <c r="AL42" s="244">
        <f t="shared" si="41"/>
        <v>-7.7402200397385101E-3</v>
      </c>
      <c r="AM42" s="244">
        <f t="shared" si="41"/>
        <v>-4.9801924016146248E-4</v>
      </c>
      <c r="AN42" s="244">
        <f t="shared" si="41"/>
        <v>2.1504409246164924E-2</v>
      </c>
      <c r="AO42" s="244">
        <f t="shared" si="41"/>
        <v>7.3274597796128438E-2</v>
      </c>
      <c r="AP42" s="244">
        <f t="shared" si="41"/>
        <v>2.3991106090258896E-2</v>
      </c>
      <c r="AQ42" s="244">
        <f t="shared" si="41"/>
        <v>2.5373954793145748E-2</v>
      </c>
      <c r="AR42" s="244">
        <f t="shared" si="41"/>
        <v>-5.4999220456103393E-3</v>
      </c>
      <c r="AS42" s="244">
        <f t="shared" si="41"/>
        <v>7.622022953755403E-2</v>
      </c>
      <c r="AT42" s="244">
        <f t="shared" si="41"/>
        <v>-2.289286776218491E-2</v>
      </c>
      <c r="AU42" s="244">
        <f t="shared" si="41"/>
        <v>5.2713244541002791E-2</v>
      </c>
      <c r="AV42" s="134"/>
      <c r="AW42" s="36"/>
    </row>
    <row r="43" spans="1:49" s="114" customFormat="1" x14ac:dyDescent="0.25">
      <c r="A43" s="112" t="s">
        <v>105</v>
      </c>
      <c r="B43" s="112"/>
      <c r="C43" s="152"/>
      <c r="D43" s="153"/>
      <c r="E43" s="153"/>
      <c r="F43" s="153"/>
      <c r="G43" s="153"/>
      <c r="H43" s="153"/>
      <c r="I43" s="153"/>
      <c r="J43" s="153"/>
      <c r="K43" s="153"/>
      <c r="L43" s="153"/>
      <c r="M43" s="153"/>
      <c r="N43" s="153"/>
      <c r="O43" s="153"/>
      <c r="P43" s="153"/>
      <c r="Q43" s="153"/>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AP43" s="153"/>
      <c r="AQ43" s="153"/>
      <c r="AR43" s="153"/>
      <c r="AS43" s="153"/>
      <c r="AT43" s="153"/>
      <c r="AU43" s="153"/>
      <c r="AV43" s="152"/>
      <c r="AW43" s="112"/>
    </row>
    <row r="44" spans="1:49" x14ac:dyDescent="0.25">
      <c r="A44" s="36" t="s">
        <v>8</v>
      </c>
      <c r="B44" s="36"/>
      <c r="C44" s="165"/>
      <c r="D44" s="124"/>
      <c r="E44" s="124"/>
      <c r="F44" s="124"/>
      <c r="G44" s="124"/>
      <c r="H44" s="246">
        <f t="shared" ref="H44:S44" si="42">H7/D7-1</f>
        <v>1.7588314386994259</v>
      </c>
      <c r="I44" s="246">
        <f t="shared" si="42"/>
        <v>1.4523869452135241</v>
      </c>
      <c r="J44" s="246">
        <f t="shared" si="42"/>
        <v>1.0696202531645578</v>
      </c>
      <c r="K44" s="246">
        <f t="shared" si="42"/>
        <v>1.0919540229885061</v>
      </c>
      <c r="L44" s="246">
        <f t="shared" si="42"/>
        <v>0.87859991138679661</v>
      </c>
      <c r="M44" s="246">
        <f t="shared" si="42"/>
        <v>0.55189873417721547</v>
      </c>
      <c r="N44" s="246">
        <f t="shared" si="42"/>
        <v>0.34195718654434271</v>
      </c>
      <c r="O44" s="245">
        <f t="shared" si="42"/>
        <v>0.50153846153846171</v>
      </c>
      <c r="P44" s="245">
        <f t="shared" si="42"/>
        <v>0.98978773584905677</v>
      </c>
      <c r="Q44" s="245">
        <f t="shared" si="42"/>
        <v>1.4887350645915078</v>
      </c>
      <c r="R44" s="245">
        <f t="shared" si="42"/>
        <v>1.9588213846223956</v>
      </c>
      <c r="S44" s="245">
        <f t="shared" si="42"/>
        <v>2.221970140515221</v>
      </c>
      <c r="T44" s="245">
        <f t="shared" ref="T44:AI44" si="43">T7/P7-1</f>
        <v>1.7404079794232339</v>
      </c>
      <c r="U44" s="245">
        <f t="shared" si="43"/>
        <v>1.6547026414158417</v>
      </c>
      <c r="V44" s="245">
        <f t="shared" si="43"/>
        <v>1.5485408852501941</v>
      </c>
      <c r="W44" s="245">
        <f t="shared" si="43"/>
        <v>1.2015900056785926</v>
      </c>
      <c r="X44" s="245">
        <f t="shared" si="43"/>
        <v>0.8057958477508651</v>
      </c>
      <c r="Y44" s="245">
        <f t="shared" si="43"/>
        <v>0.72839506172839519</v>
      </c>
      <c r="Z44" s="245">
        <f t="shared" si="43"/>
        <v>0.80265941372015748</v>
      </c>
      <c r="AA44" s="245">
        <f t="shared" si="43"/>
        <v>0.72478720660304319</v>
      </c>
      <c r="AB44" s="245">
        <f t="shared" si="43"/>
        <v>0.70155688622754475</v>
      </c>
      <c r="AC44" s="245">
        <f t="shared" si="43"/>
        <v>0.58455598455598468</v>
      </c>
      <c r="AD44" s="245">
        <f t="shared" si="43"/>
        <v>0.43319362950544793</v>
      </c>
      <c r="AE44" s="245">
        <f t="shared" si="43"/>
        <v>0.39718857484671743</v>
      </c>
      <c r="AF44" s="245">
        <f t="shared" si="43"/>
        <v>0.4076576576576576</v>
      </c>
      <c r="AG44" s="245">
        <f t="shared" si="43"/>
        <v>0.48757309941520455</v>
      </c>
      <c r="AH44" s="245">
        <f t="shared" si="43"/>
        <v>0.49140250321675083</v>
      </c>
      <c r="AI44" s="245">
        <f t="shared" si="43"/>
        <v>0.4727603553462485</v>
      </c>
      <c r="AJ44" s="245">
        <f t="shared" ref="AJ44:AO44" si="44">AJ7/AF7-1</f>
        <v>0.39100000000000001</v>
      </c>
      <c r="AK44" s="245">
        <f t="shared" si="44"/>
        <v>0.28746928746928746</v>
      </c>
      <c r="AL44" s="245">
        <f t="shared" si="44"/>
        <v>0.35058823529411764</v>
      </c>
      <c r="AM44" s="245">
        <f t="shared" si="44"/>
        <v>0.35537790697674421</v>
      </c>
      <c r="AN44" s="245">
        <f t="shared" si="44"/>
        <v>0.33501078360891445</v>
      </c>
      <c r="AO44" s="245">
        <f t="shared" si="44"/>
        <v>0.26145038167938939</v>
      </c>
      <c r="AP44" s="245">
        <f>AP7/AL7-1</f>
        <v>0.18815331010452963</v>
      </c>
      <c r="AQ44" s="245">
        <f>AQ7/AM7-1</f>
        <v>0.12922252010723856</v>
      </c>
      <c r="AR44" s="245">
        <f t="shared" ref="AR44:AS44" si="45">AR7/AN7-1</f>
        <v>0.18686052773290251</v>
      </c>
      <c r="AS44" s="245">
        <f t="shared" si="45"/>
        <v>0.23651033787191134</v>
      </c>
      <c r="AT44" s="245">
        <f>AT7/AP7-1</f>
        <v>0.19892473118279574</v>
      </c>
      <c r="AU44" s="245">
        <f>AU7/AQ7-1</f>
        <v>0.20085470085470081</v>
      </c>
      <c r="AV44" s="164"/>
      <c r="AW44" s="36"/>
    </row>
    <row r="45" spans="1:49" x14ac:dyDescent="0.25">
      <c r="A45" s="43" t="s">
        <v>152</v>
      </c>
      <c r="C45" s="134"/>
      <c r="D45" s="119"/>
      <c r="E45" s="151">
        <f t="shared" ref="E45:S45" si="46">E7/D7-1</f>
        <v>0.45691235790245743</v>
      </c>
      <c r="F45" s="151">
        <f t="shared" si="46"/>
        <v>0.32561456498028285</v>
      </c>
      <c r="G45" s="151">
        <f t="shared" si="46"/>
        <v>0.10126582278481044</v>
      </c>
      <c r="H45" s="151">
        <f t="shared" si="46"/>
        <v>0.29712643678160933</v>
      </c>
      <c r="I45" s="151">
        <f t="shared" si="46"/>
        <v>0.29508196721311464</v>
      </c>
      <c r="J45" s="151">
        <f t="shared" si="46"/>
        <v>0.1187136503592201</v>
      </c>
      <c r="K45" s="151">
        <f t="shared" si="46"/>
        <v>0.11314984709480136</v>
      </c>
      <c r="L45" s="151">
        <f t="shared" si="46"/>
        <v>0.16483516483516469</v>
      </c>
      <c r="M45" s="151">
        <f t="shared" si="46"/>
        <v>6.9858490566037768E-2</v>
      </c>
      <c r="N45" s="151">
        <f t="shared" si="46"/>
        <v>-3.262642740619881E-2</v>
      </c>
      <c r="O45" s="244">
        <f t="shared" si="46"/>
        <v>0.24552208194703984</v>
      </c>
      <c r="P45" s="244">
        <f t="shared" si="46"/>
        <v>0.54359997072599509</v>
      </c>
      <c r="Q45" s="244">
        <f t="shared" si="46"/>
        <v>0.33812983749570313</v>
      </c>
      <c r="R45" s="244">
        <f t="shared" si="46"/>
        <v>0.15009655074671824</v>
      </c>
      <c r="S45" s="244">
        <f t="shared" si="46"/>
        <v>0.35629510393641328</v>
      </c>
      <c r="T45" s="244">
        <f t="shared" ref="T45:AI45" si="47">T7/S7-1</f>
        <v>0.31289040318001149</v>
      </c>
      <c r="U45" s="244">
        <f t="shared" si="47"/>
        <v>0.29628027681660907</v>
      </c>
      <c r="V45" s="244">
        <f t="shared" si="47"/>
        <v>0.10410410410410398</v>
      </c>
      <c r="W45" s="244">
        <f t="shared" si="47"/>
        <v>0.17165306739196184</v>
      </c>
      <c r="X45" s="244">
        <f t="shared" si="47"/>
        <v>7.6863554294557268E-2</v>
      </c>
      <c r="Y45" s="244">
        <f t="shared" si="47"/>
        <v>0.24071856287425142</v>
      </c>
      <c r="Z45" s="244">
        <f t="shared" si="47"/>
        <v>0.15154440154440163</v>
      </c>
      <c r="AA45" s="244">
        <f t="shared" si="47"/>
        <v>0.1210393964794636</v>
      </c>
      <c r="AB45" s="244">
        <f t="shared" si="47"/>
        <v>6.235980260206353E-2</v>
      </c>
      <c r="AC45" s="244">
        <f t="shared" si="47"/>
        <v>0.15540540540540548</v>
      </c>
      <c r="AD45" s="244">
        <f t="shared" si="47"/>
        <v>4.1544834307991829E-2</v>
      </c>
      <c r="AE45" s="244">
        <f t="shared" si="47"/>
        <v>9.2876359808164999E-2</v>
      </c>
      <c r="AF45" s="244">
        <f t="shared" si="47"/>
        <v>7.0320025687680587E-2</v>
      </c>
      <c r="AG45" s="244">
        <f t="shared" si="47"/>
        <v>0.22100000000000009</v>
      </c>
      <c r="AH45" s="244">
        <f t="shared" si="47"/>
        <v>4.4226044226044259E-2</v>
      </c>
      <c r="AI45" s="244">
        <f t="shared" si="47"/>
        <v>7.92156862745097E-2</v>
      </c>
      <c r="AJ45" s="244">
        <f t="shared" ref="AJ45:AU45" si="48">AJ7/AI7-1</f>
        <v>1.0901162790697638E-2</v>
      </c>
      <c r="AK45" s="244">
        <f t="shared" si="48"/>
        <v>0.13012221423436388</v>
      </c>
      <c r="AL45" s="244">
        <f t="shared" si="48"/>
        <v>9.5419847328244378E-2</v>
      </c>
      <c r="AM45" s="244">
        <f t="shared" si="48"/>
        <v>8.3042973286875821E-2</v>
      </c>
      <c r="AN45" s="244">
        <f t="shared" si="48"/>
        <v>-4.2895442359249802E-3</v>
      </c>
      <c r="AO45" s="244">
        <f t="shared" si="48"/>
        <v>6.7851373182552521E-2</v>
      </c>
      <c r="AP45" s="244">
        <f t="shared" si="48"/>
        <v>3.1770045385779211E-2</v>
      </c>
      <c r="AQ45" s="244">
        <f t="shared" si="48"/>
        <v>2.9325513196480912E-2</v>
      </c>
      <c r="AR45" s="244">
        <f t="shared" si="48"/>
        <v>4.65337132003798E-2</v>
      </c>
      <c r="AS45" s="244">
        <f t="shared" si="48"/>
        <v>0.11252268602540827</v>
      </c>
      <c r="AT45" s="244">
        <f t="shared" si="48"/>
        <v>4.078303425774088E-4</v>
      </c>
      <c r="AU45" s="244">
        <f t="shared" si="48"/>
        <v>3.098247044435376E-2</v>
      </c>
      <c r="AV45" s="134"/>
      <c r="AW45" s="36"/>
    </row>
    <row r="46" spans="1:49" x14ac:dyDescent="0.25">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W46" s="36"/>
    </row>
    <row r="47" spans="1:49" x14ac:dyDescent="0.25">
      <c r="A47" s="36" t="s">
        <v>170</v>
      </c>
      <c r="B47" s="36"/>
      <c r="C47" s="36"/>
      <c r="D47" s="122"/>
      <c r="E47" s="144">
        <f>E7*1000000/E31/3</f>
        <v>76.921587608906108</v>
      </c>
      <c r="F47" s="144">
        <f t="shared" ref="F47:S47" si="49">F7*1000000/F31/3</f>
        <v>93.796378747402755</v>
      </c>
      <c r="G47" s="144">
        <f t="shared" si="49"/>
        <v>97.807757166947724</v>
      </c>
      <c r="H47" s="144">
        <f t="shared" si="49"/>
        <v>116.64082687338502</v>
      </c>
      <c r="I47" s="144">
        <f t="shared" si="49"/>
        <v>148.33647971093924</v>
      </c>
      <c r="J47" s="144">
        <f t="shared" si="49"/>
        <v>179.98084607509659</v>
      </c>
      <c r="K47" s="144">
        <f t="shared" si="49"/>
        <v>205.90098651461676</v>
      </c>
      <c r="L47" s="144">
        <f t="shared" si="49"/>
        <v>253.05878842136676</v>
      </c>
      <c r="M47" s="144">
        <f t="shared" si="49"/>
        <v>308.27047230716954</v>
      </c>
      <c r="N47" s="144">
        <f t="shared" si="49"/>
        <v>334.33904761904773</v>
      </c>
      <c r="O47" s="145">
        <f t="shared" si="49"/>
        <v>436.37524950099811</v>
      </c>
      <c r="P47" s="145">
        <f t="shared" si="49"/>
        <v>665.61735700197244</v>
      </c>
      <c r="Q47" s="145">
        <f t="shared" si="49"/>
        <v>870.08863198458573</v>
      </c>
      <c r="R47" s="145">
        <f t="shared" si="49"/>
        <v>972.5767790262172</v>
      </c>
      <c r="S47" s="145">
        <f t="shared" si="49"/>
        <v>1283.0601092896172</v>
      </c>
      <c r="T47" s="145">
        <f t="shared" ref="T47:Y47" si="50">T7*1000000/T31/3</f>
        <v>1631.0405643738977</v>
      </c>
      <c r="U47" s="145">
        <f t="shared" si="50"/>
        <v>2028.4263959390864</v>
      </c>
      <c r="V47" s="145">
        <f t="shared" si="50"/>
        <v>2141.7475728155337</v>
      </c>
      <c r="W47" s="145">
        <f t="shared" si="50"/>
        <v>2438.3647798742145</v>
      </c>
      <c r="X47" s="145">
        <f t="shared" si="50"/>
        <v>2577.1604938271607</v>
      </c>
      <c r="Y47" s="145">
        <f t="shared" si="50"/>
        <v>3215.3941651148357</v>
      </c>
      <c r="Z47" s="145">
        <f t="shared" ref="Z47:AA47" si="51">Z7*1000000/Z31/3</f>
        <v>3723.470661672909</v>
      </c>
      <c r="AA47" s="145">
        <f t="shared" si="51"/>
        <v>4097.4264705882351</v>
      </c>
      <c r="AB47" s="145">
        <f t="shared" ref="AB47:AC47" si="52">AB7*1000000/AB31/3</f>
        <v>4305.454545454545</v>
      </c>
      <c r="AC47" s="145">
        <f t="shared" si="52"/>
        <v>4898.8361683079684</v>
      </c>
      <c r="AD47" s="145">
        <f t="shared" ref="AD47:AE47" si="53">AD7*1000000/AD31/3</f>
        <v>5084.1510556051135</v>
      </c>
      <c r="AE47" s="145">
        <f t="shared" si="53"/>
        <v>5551.3963161021993</v>
      </c>
      <c r="AF47" s="145">
        <f t="shared" ref="AF47:AG47" si="54">AF7*1000000/AF31/3</f>
        <v>5942.3002644323615</v>
      </c>
      <c r="AG47" s="145">
        <f t="shared" si="54"/>
        <v>7322.7779776898169</v>
      </c>
      <c r="AH47" s="145">
        <f t="shared" ref="AH47:AI47" si="55">AH7*1000000/AH31/3</f>
        <v>7552.1990226565977</v>
      </c>
      <c r="AI47" s="145">
        <f t="shared" si="55"/>
        <v>7992.7971885800589</v>
      </c>
      <c r="AJ47" s="145">
        <f t="shared" ref="AJ47:AK47" si="56">AJ7*1000000/AJ31/3</f>
        <v>8141.6447175885287</v>
      </c>
      <c r="AK47" s="145">
        <f t="shared" si="56"/>
        <v>9292.4277354140813</v>
      </c>
      <c r="AL47" s="145">
        <f t="shared" ref="AL47:AM47" si="57">AL7*1000000/AL31/3</f>
        <v>10004.357298474946</v>
      </c>
      <c r="AM47" s="145">
        <f t="shared" si="57"/>
        <v>10728.564443293928</v>
      </c>
      <c r="AN47" s="145">
        <f t="shared" ref="AN47:AP47" si="58">AN7*1000000/AN31/3</f>
        <v>10773.648942650771</v>
      </c>
      <c r="AO47" s="145">
        <f t="shared" si="58"/>
        <v>11573.141906679506</v>
      </c>
      <c r="AP47" s="145">
        <f t="shared" si="58"/>
        <v>11899.153799179971</v>
      </c>
      <c r="AQ47" s="145">
        <f t="shared" ref="AQ47:AT47" si="59">AQ7*1000000/AQ31/3</f>
        <v>12219.321148825065</v>
      </c>
      <c r="AR47" s="145">
        <f t="shared" si="59"/>
        <v>12732.524552281917</v>
      </c>
      <c r="AS47" s="145">
        <f t="shared" si="59"/>
        <v>14104.112740868564</v>
      </c>
      <c r="AT47" s="145">
        <f t="shared" si="59"/>
        <v>14158.730158730157</v>
      </c>
      <c r="AU47" s="145">
        <f t="shared" ref="AU47" si="60">AU7*1000000/AU31/3</f>
        <v>14660.869565217392</v>
      </c>
      <c r="AV47" s="166"/>
      <c r="AW47" s="43" t="s">
        <v>386</v>
      </c>
    </row>
    <row r="48" spans="1:49" x14ac:dyDescent="0.25">
      <c r="A48" s="43" t="s">
        <v>171</v>
      </c>
      <c r="D48" s="116"/>
      <c r="E48" s="116"/>
      <c r="F48" s="116"/>
      <c r="G48" s="116"/>
      <c r="H48" s="116"/>
      <c r="I48" s="151">
        <f t="shared" ref="I48:R48" si="61">I47/E47-1</f>
        <v>0.92841157238107508</v>
      </c>
      <c r="J48" s="151">
        <f t="shared" si="61"/>
        <v>0.91884642540190087</v>
      </c>
      <c r="K48" s="151">
        <f t="shared" si="61"/>
        <v>1.1051600862615127</v>
      </c>
      <c r="L48" s="151">
        <f t="shared" si="61"/>
        <v>1.1695558511091919</v>
      </c>
      <c r="M48" s="151">
        <f t="shared" si="61"/>
        <v>1.0781838217267317</v>
      </c>
      <c r="N48" s="151">
        <f t="shared" si="61"/>
        <v>0.85763682586282286</v>
      </c>
      <c r="O48" s="244">
        <f t="shared" si="61"/>
        <v>1.1193451128512204</v>
      </c>
      <c r="P48" s="244">
        <f t="shared" si="61"/>
        <v>1.6302874567377472</v>
      </c>
      <c r="Q48" s="244">
        <f t="shared" si="61"/>
        <v>1.8224845067795026</v>
      </c>
      <c r="R48" s="244">
        <f t="shared" si="61"/>
        <v>1.908953608477074</v>
      </c>
      <c r="S48" s="244">
        <f t="shared" ref="S48:W48" si="62">S47/O47-1</f>
        <v>1.9402678331477698</v>
      </c>
      <c r="T48" s="244">
        <f t="shared" si="62"/>
        <v>1.4504177170504051</v>
      </c>
      <c r="U48" s="244">
        <f t="shared" si="62"/>
        <v>1.3312870911925918</v>
      </c>
      <c r="V48" s="244">
        <f t="shared" si="62"/>
        <v>1.202137269779294</v>
      </c>
      <c r="W48" s="244">
        <f t="shared" si="62"/>
        <v>0.90042910867538906</v>
      </c>
      <c r="X48" s="244">
        <f t="shared" ref="X48:AI48" si="63">X47/T47-1</f>
        <v>0.58007136678200699</v>
      </c>
      <c r="Y48" s="244">
        <f t="shared" si="63"/>
        <v>0.58516679311216868</v>
      </c>
      <c r="Z48" s="244">
        <f t="shared" si="63"/>
        <v>0.73851984656532044</v>
      </c>
      <c r="AA48" s="244">
        <f t="shared" si="63"/>
        <v>0.68039930055075892</v>
      </c>
      <c r="AB48" s="244">
        <f t="shared" si="63"/>
        <v>0.67061948829613471</v>
      </c>
      <c r="AC48" s="244">
        <f t="shared" si="63"/>
        <v>0.52355696276913832</v>
      </c>
      <c r="AD48" s="244">
        <f t="shared" si="63"/>
        <v>0.36543335977860703</v>
      </c>
      <c r="AE48" s="244">
        <f t="shared" si="63"/>
        <v>0.3548495271240899</v>
      </c>
      <c r="AF48" s="244">
        <f t="shared" si="63"/>
        <v>0.38017953776934088</v>
      </c>
      <c r="AG48" s="244">
        <f t="shared" si="63"/>
        <v>0.4947995250510826</v>
      </c>
      <c r="AH48" s="244">
        <f t="shared" si="63"/>
        <v>0.48543954340824325</v>
      </c>
      <c r="AI48" s="244">
        <f t="shared" si="63"/>
        <v>0.43978140515682718</v>
      </c>
      <c r="AJ48" s="244">
        <f t="shared" ref="AJ48:AU48" si="64">AJ47/AF47-1</f>
        <v>0.37011668129938569</v>
      </c>
      <c r="AK48" s="244">
        <f t="shared" si="64"/>
        <v>0.26897575806956908</v>
      </c>
      <c r="AL48" s="244">
        <f t="shared" si="64"/>
        <v>0.32469460463924138</v>
      </c>
      <c r="AM48" s="244">
        <f t="shared" si="64"/>
        <v>0.34227907829597837</v>
      </c>
      <c r="AN48" s="244">
        <f t="shared" si="64"/>
        <v>0.32327672311422284</v>
      </c>
      <c r="AO48" s="244">
        <f t="shared" si="64"/>
        <v>0.24543792388865904</v>
      </c>
      <c r="AP48" s="244">
        <f t="shared" si="64"/>
        <v>0.18939712409050657</v>
      </c>
      <c r="AQ48" s="244">
        <f t="shared" si="64"/>
        <v>0.13895211362252291</v>
      </c>
      <c r="AR48" s="244">
        <f t="shared" si="64"/>
        <v>0.18182099862901047</v>
      </c>
      <c r="AS48" s="244">
        <f t="shared" si="64"/>
        <v>0.21869349348669909</v>
      </c>
      <c r="AT48" s="244">
        <f t="shared" si="64"/>
        <v>0.18989386957128884</v>
      </c>
      <c r="AU48" s="244">
        <f t="shared" si="64"/>
        <v>0.19981047937569674</v>
      </c>
      <c r="AV48" s="134"/>
    </row>
    <row r="49" spans="1:48" x14ac:dyDescent="0.25">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row>
    <row r="50" spans="1:48" x14ac:dyDescent="0.25">
      <c r="A50" s="43" t="s">
        <v>118</v>
      </c>
      <c r="D50" s="116"/>
      <c r="E50" s="139">
        <f>E7*1000000/AVERAGE(SUM(E10:E12),SUM(D10:D12))/3</f>
        <v>97.96330999112341</v>
      </c>
      <c r="F50" s="139">
        <f t="shared" ref="F50:S50" si="65">F7*1000000/AVERAGE(SUM(F10:F12),SUM(E10:E12))/3</f>
        <v>125.26410509499853</v>
      </c>
      <c r="G50" s="139">
        <f t="shared" si="65"/>
        <v>132.20578514280504</v>
      </c>
      <c r="H50" s="139">
        <f t="shared" si="65"/>
        <v>166.17704444886209</v>
      </c>
      <c r="I50" s="139">
        <f t="shared" si="65"/>
        <v>208.60541960163002</v>
      </c>
      <c r="J50" s="139">
        <f t="shared" si="65"/>
        <v>223.59891687864118</v>
      </c>
      <c r="K50" s="139">
        <f t="shared" si="65"/>
        <v>238.62436984155087</v>
      </c>
      <c r="L50" s="139">
        <f t="shared" si="65"/>
        <v>269.32433891673179</v>
      </c>
      <c r="M50" s="139">
        <f t="shared" si="65"/>
        <v>281.33566528982004</v>
      </c>
      <c r="N50" s="139">
        <f t="shared" si="65"/>
        <v>263.91219365508954</v>
      </c>
      <c r="O50" s="140">
        <f t="shared" si="65"/>
        <v>316.35396498783064</v>
      </c>
      <c r="P50" s="140">
        <f t="shared" si="65"/>
        <v>476.97713402137629</v>
      </c>
      <c r="Q50" s="140">
        <f t="shared" si="65"/>
        <v>600.21425970083385</v>
      </c>
      <c r="R50" s="140">
        <f t="shared" si="65"/>
        <v>596.63996838482285</v>
      </c>
      <c r="S50" s="140">
        <f t="shared" si="65"/>
        <v>719.3230765460238</v>
      </c>
      <c r="T50" s="140">
        <f t="shared" ref="T50:AI50" si="66">T7*1000000/AVERAGE(SUM(T10:T12),SUM(S10:S12))/3</f>
        <v>895.43683529694272</v>
      </c>
      <c r="U50" s="140">
        <f t="shared" si="66"/>
        <v>1102.9229113190361</v>
      </c>
      <c r="V50" s="140">
        <f t="shared" si="66"/>
        <v>1151.8860436943896</v>
      </c>
      <c r="W50" s="140">
        <f t="shared" si="66"/>
        <v>1298.1816416288718</v>
      </c>
      <c r="X50" s="140">
        <f t="shared" si="66"/>
        <v>1345.3463904436906</v>
      </c>
      <c r="Y50" s="140">
        <f t="shared" si="66"/>
        <v>1587.1702715041656</v>
      </c>
      <c r="Z50" s="140">
        <f t="shared" si="66"/>
        <v>1744.7642447642447</v>
      </c>
      <c r="AA50" s="140">
        <f t="shared" si="66"/>
        <v>1899.2033400076682</v>
      </c>
      <c r="AB50" s="140">
        <f t="shared" si="66"/>
        <v>1967.0142998949211</v>
      </c>
      <c r="AC50" s="140">
        <f t="shared" si="66"/>
        <v>2193.7842778793424</v>
      </c>
      <c r="AD50" s="140">
        <f t="shared" si="66"/>
        <v>2221.8063969520003</v>
      </c>
      <c r="AE50" s="140">
        <f t="shared" si="66"/>
        <v>2400.460411544203</v>
      </c>
      <c r="AF50" s="140">
        <f t="shared" si="66"/>
        <v>2527.6173793915773</v>
      </c>
      <c r="AG50" s="140">
        <f t="shared" si="66"/>
        <v>2982.6027055943955</v>
      </c>
      <c r="AH50" s="140">
        <f t="shared" si="66"/>
        <v>3014.4195646468875</v>
      </c>
      <c r="AI50" s="140">
        <f t="shared" si="66"/>
        <v>3189.8813994677348</v>
      </c>
      <c r="AJ50" s="140">
        <f t="shared" ref="AJ50:AU50" si="67">AJ7*1000000/AVERAGE(SUM(AJ10:AJ12),SUM(AI10:AI12))/3</f>
        <v>3167.5114882066555</v>
      </c>
      <c r="AK50" s="140">
        <f t="shared" si="67"/>
        <v>3441.764232581816</v>
      </c>
      <c r="AL50" s="140">
        <f t="shared" si="67"/>
        <v>3702.4375455548175</v>
      </c>
      <c r="AM50" s="140">
        <f t="shared" si="67"/>
        <v>3939.0992029924478</v>
      </c>
      <c r="AN50" s="140">
        <f t="shared" si="67"/>
        <v>4128.4556641211193</v>
      </c>
      <c r="AO50" s="140">
        <f t="shared" si="67"/>
        <v>4618.1954104499773</v>
      </c>
      <c r="AP50" s="140">
        <f t="shared" si="67"/>
        <v>4605.9607345224185</v>
      </c>
      <c r="AQ50" s="140">
        <f t="shared" si="67"/>
        <v>4783.8086476540939</v>
      </c>
      <c r="AR50" s="140">
        <f t="shared" si="67"/>
        <v>4984.3391340728431</v>
      </c>
      <c r="AS50" s="140">
        <f t="shared" si="67"/>
        <v>5444.2793989977372</v>
      </c>
      <c r="AT50" s="140">
        <f t="shared" si="67"/>
        <v>5280.1742694288032</v>
      </c>
      <c r="AU50" s="140">
        <f t="shared" si="67"/>
        <v>5296.0744340330893</v>
      </c>
      <c r="AV50" s="160"/>
    </row>
    <row r="51" spans="1:48" x14ac:dyDescent="0.25">
      <c r="A51" s="43" t="s">
        <v>119</v>
      </c>
      <c r="D51" s="116"/>
      <c r="E51" s="139">
        <f>E7*1000000/AVERAGE(SUM(E11:E12),SUM(D11:D12))/3</f>
        <v>289.14522761180456</v>
      </c>
      <c r="F51" s="139">
        <f t="shared" ref="F51:U51" si="68">F7*1000000/AVERAGE(SUM(F11:F12),SUM(E11:E12))/3</f>
        <v>364.37433697707661</v>
      </c>
      <c r="G51" s="139">
        <f t="shared" si="68"/>
        <v>389.39241356159783</v>
      </c>
      <c r="H51" s="139">
        <f t="shared" si="68"/>
        <v>501.33830895500842</v>
      </c>
      <c r="I51" s="139">
        <f t="shared" si="68"/>
        <v>646.88177754171636</v>
      </c>
      <c r="J51" s="139">
        <f t="shared" si="68"/>
        <v>712.23209618400426</v>
      </c>
      <c r="K51" s="139">
        <f t="shared" si="68"/>
        <v>771.96331053496658</v>
      </c>
      <c r="L51" s="139">
        <f t="shared" si="68"/>
        <v>866.62374426423855</v>
      </c>
      <c r="M51" s="139">
        <f t="shared" si="68"/>
        <v>887.12879032336923</v>
      </c>
      <c r="N51" s="139">
        <f t="shared" si="68"/>
        <v>803.39063730067221</v>
      </c>
      <c r="O51" s="140">
        <f t="shared" si="68"/>
        <v>903.95031713347737</v>
      </c>
      <c r="P51" s="140">
        <f t="shared" si="68"/>
        <v>1308.5328308090795</v>
      </c>
      <c r="Q51" s="140">
        <f t="shared" si="68"/>
        <v>1495.2649633779683</v>
      </c>
      <c r="R51" s="140">
        <f t="shared" si="68"/>
        <v>1238.9158448671524</v>
      </c>
      <c r="S51" s="140">
        <f t="shared" si="68"/>
        <v>1332.9094666091416</v>
      </c>
      <c r="T51" s="140">
        <f t="shared" si="68"/>
        <v>1588.8723954038153</v>
      </c>
      <c r="U51" s="140">
        <f t="shared" si="68"/>
        <v>1887.9156390849564</v>
      </c>
      <c r="V51" s="140">
        <f t="shared" ref="V51:AI51" si="69">V7*1000000/AVERAGE(SUM(V11:V12),SUM(U11:U12))/3</f>
        <v>1902.8560091778727</v>
      </c>
      <c r="W51" s="140">
        <f t="shared" si="69"/>
        <v>2093.4407861877194</v>
      </c>
      <c r="X51" s="140">
        <f t="shared" si="69"/>
        <v>2119.2785823422214</v>
      </c>
      <c r="Y51" s="140">
        <f t="shared" si="69"/>
        <v>2429.7346992382454</v>
      </c>
      <c r="Z51" s="140">
        <f t="shared" si="69"/>
        <v>2606.1122397710642</v>
      </c>
      <c r="AA51" s="140">
        <f t="shared" si="69"/>
        <v>2791.9385748462496</v>
      </c>
      <c r="AB51" s="140">
        <f t="shared" si="69"/>
        <v>2845.8802038265549</v>
      </c>
      <c r="AC51" s="140">
        <f t="shared" si="69"/>
        <v>3112.1146113553514</v>
      </c>
      <c r="AD51" s="140">
        <f t="shared" si="69"/>
        <v>3101.0029562725563</v>
      </c>
      <c r="AE51" s="140">
        <f t="shared" si="69"/>
        <v>3321.9909901261167</v>
      </c>
      <c r="AF51" s="140">
        <f t="shared" si="69"/>
        <v>3472.0775523242087</v>
      </c>
      <c r="AG51" s="140">
        <f t="shared" si="69"/>
        <v>4039.5619010753967</v>
      </c>
      <c r="AH51" s="140">
        <f t="shared" si="69"/>
        <v>4040.7305640859868</v>
      </c>
      <c r="AI51" s="140">
        <f t="shared" si="69"/>
        <v>4284.6022108049201</v>
      </c>
      <c r="AJ51" s="140">
        <f t="shared" ref="AJ51:AU51" si="70">AJ7*1000000/AVERAGE(SUM(AJ11:AJ12),SUM(AI11:AI12))/3</f>
        <v>4263.3467118440431</v>
      </c>
      <c r="AK51" s="140">
        <f t="shared" si="70"/>
        <v>4593.0061839043183</v>
      </c>
      <c r="AL51" s="140">
        <f t="shared" si="70"/>
        <v>4948.2118765705618</v>
      </c>
      <c r="AM51" s="140">
        <f t="shared" si="70"/>
        <v>5343.7170494659149</v>
      </c>
      <c r="AN51" s="140">
        <f t="shared" si="70"/>
        <v>5972.0212252773754</v>
      </c>
      <c r="AO51" s="140">
        <f t="shared" si="70"/>
        <v>7299.5521984241359</v>
      </c>
      <c r="AP51" s="140">
        <f t="shared" si="70"/>
        <v>7379.7144418414655</v>
      </c>
      <c r="AQ51" s="140">
        <f t="shared" si="70"/>
        <v>7587.1386111861657</v>
      </c>
      <c r="AR51" s="140">
        <f t="shared" si="70"/>
        <v>7794.0861840627913</v>
      </c>
      <c r="AS51" s="140">
        <f t="shared" si="70"/>
        <v>8426.8552742594275</v>
      </c>
      <c r="AT51" s="140">
        <f t="shared" si="70"/>
        <v>8058.8860470884683</v>
      </c>
      <c r="AU51" s="140">
        <f t="shared" si="70"/>
        <v>8004.8617903163004</v>
      </c>
      <c r="AV51" s="160"/>
    </row>
    <row r="52" spans="1:48" x14ac:dyDescent="0.25">
      <c r="A52" s="43" t="s">
        <v>120</v>
      </c>
      <c r="D52" s="116"/>
      <c r="E52" s="116"/>
      <c r="F52" s="116"/>
      <c r="G52" s="116"/>
      <c r="H52" s="116"/>
      <c r="I52" s="151">
        <f>I51/E51-1</f>
        <v>1.2372210078811863</v>
      </c>
      <c r="J52" s="151">
        <f t="shared" ref="J52:U52" si="71">J51/F51-1</f>
        <v>0.95467140219815194</v>
      </c>
      <c r="K52" s="151">
        <f t="shared" si="71"/>
        <v>0.98248163972729796</v>
      </c>
      <c r="L52" s="151">
        <f t="shared" si="71"/>
        <v>0.72862063158634838</v>
      </c>
      <c r="M52" s="151">
        <f t="shared" si="71"/>
        <v>0.371392457049325</v>
      </c>
      <c r="N52" s="151">
        <f t="shared" si="71"/>
        <v>0.12798993699536565</v>
      </c>
      <c r="O52" s="244">
        <f t="shared" si="71"/>
        <v>0.1709757507867109</v>
      </c>
      <c r="P52" s="244">
        <f t="shared" si="71"/>
        <v>0.50992035409786829</v>
      </c>
      <c r="Q52" s="244">
        <f t="shared" si="71"/>
        <v>0.68551058165176459</v>
      </c>
      <c r="R52" s="244">
        <f t="shared" si="71"/>
        <v>0.54210889117380034</v>
      </c>
      <c r="S52" s="244">
        <f t="shared" si="71"/>
        <v>0.47453841361098181</v>
      </c>
      <c r="T52" s="244">
        <f t="shared" si="71"/>
        <v>0.21423961095527022</v>
      </c>
      <c r="U52" s="244">
        <f t="shared" si="71"/>
        <v>0.26259605175255829</v>
      </c>
      <c r="V52" s="244">
        <f t="shared" ref="V52:AI52" si="72">V51/R51-1</f>
        <v>0.53590416739073499</v>
      </c>
      <c r="W52" s="244">
        <f t="shared" si="72"/>
        <v>0.57057987705146496</v>
      </c>
      <c r="X52" s="261">
        <f t="shared" si="72"/>
        <v>0.33382554097656292</v>
      </c>
      <c r="Y52" s="261">
        <f t="shared" si="72"/>
        <v>0.28699325803344711</v>
      </c>
      <c r="Z52" s="261">
        <f t="shared" si="72"/>
        <v>0.36957932034859153</v>
      </c>
      <c r="AA52" s="261">
        <f t="shared" si="72"/>
        <v>0.33366016047224178</v>
      </c>
      <c r="AB52" s="261">
        <f t="shared" si="72"/>
        <v>0.34285328391385672</v>
      </c>
      <c r="AC52" s="261">
        <f t="shared" si="72"/>
        <v>0.28084544058700778</v>
      </c>
      <c r="AD52" s="261">
        <f t="shared" si="72"/>
        <v>0.18989616369898399</v>
      </c>
      <c r="AE52" s="261">
        <f t="shared" si="72"/>
        <v>0.18985103041138962</v>
      </c>
      <c r="AF52" s="261">
        <f t="shared" si="72"/>
        <v>0.22003643992311139</v>
      </c>
      <c r="AG52" s="261">
        <f t="shared" si="72"/>
        <v>0.29801193257343894</v>
      </c>
      <c r="AH52" s="261">
        <f t="shared" si="72"/>
        <v>0.30303989420990263</v>
      </c>
      <c r="AI52" s="261">
        <f t="shared" si="72"/>
        <v>0.2897693652812281</v>
      </c>
      <c r="AJ52" s="261">
        <f t="shared" ref="AJ52:AU52" si="73">AJ51/AF51-1</f>
        <v>0.22789501317162664</v>
      </c>
      <c r="AK52" s="261">
        <f t="shared" si="73"/>
        <v>0.13700601609337526</v>
      </c>
      <c r="AL52" s="261">
        <f t="shared" si="73"/>
        <v>0.2245834752136826</v>
      </c>
      <c r="AM52" s="261">
        <f t="shared" si="73"/>
        <v>0.24719093781684487</v>
      </c>
      <c r="AN52" s="261">
        <f t="shared" si="73"/>
        <v>0.40078244368126281</v>
      </c>
      <c r="AO52" s="261">
        <f t="shared" si="73"/>
        <v>0.5892754997815175</v>
      </c>
      <c r="AP52" s="261">
        <f t="shared" si="73"/>
        <v>0.49139014777922085</v>
      </c>
      <c r="AQ52" s="261">
        <f t="shared" si="73"/>
        <v>0.41982416751359852</v>
      </c>
      <c r="AR52" s="261">
        <f t="shared" si="73"/>
        <v>0.30510021482731564</v>
      </c>
      <c r="AS52" s="261">
        <f t="shared" si="73"/>
        <v>0.15443455231112124</v>
      </c>
      <c r="AT52" s="261">
        <f t="shared" si="73"/>
        <v>9.2032233848540201E-2</v>
      </c>
      <c r="AU52" s="261">
        <f t="shared" si="73"/>
        <v>5.5056748075520856E-2</v>
      </c>
      <c r="AV52" s="134"/>
    </row>
    <row r="53" spans="1:48" x14ac:dyDescent="0.25">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row>
    <row r="54" spans="1:48" x14ac:dyDescent="0.25">
      <c r="A54" s="43" t="s">
        <v>123</v>
      </c>
      <c r="D54" s="116"/>
      <c r="E54" s="139">
        <f t="shared" ref="E54:S54" si="74">E18*1000/SUM(E10:E12)</f>
        <v>1312.5711379652726</v>
      </c>
      <c r="F54" s="139">
        <f t="shared" si="74"/>
        <v>1357.6035143471352</v>
      </c>
      <c r="G54" s="139">
        <f t="shared" si="74"/>
        <v>1346.059716103769</v>
      </c>
      <c r="H54" s="139">
        <f t="shared" si="74"/>
        <v>1502.1929824561403</v>
      </c>
      <c r="I54" s="139">
        <f t="shared" si="74"/>
        <v>1314.8450244698206</v>
      </c>
      <c r="J54" s="139">
        <f t="shared" si="74"/>
        <v>1172.5775934946257</v>
      </c>
      <c r="K54" s="139">
        <f t="shared" si="74"/>
        <v>1145.8894101361225</v>
      </c>
      <c r="L54" s="139">
        <f t="shared" si="74"/>
        <v>984.09580295417629</v>
      </c>
      <c r="M54" s="139">
        <f t="shared" si="74"/>
        <v>843.26306141154907</v>
      </c>
      <c r="N54" s="139">
        <f t="shared" si="74"/>
        <v>737.1225577264654</v>
      </c>
      <c r="O54" s="139">
        <f t="shared" si="74"/>
        <v>713.32733232561691</v>
      </c>
      <c r="P54" s="139">
        <f t="shared" si="74"/>
        <v>719.85094850948508</v>
      </c>
      <c r="Q54" s="139">
        <f t="shared" si="74"/>
        <v>663.11997950356431</v>
      </c>
      <c r="R54" s="139">
        <f t="shared" si="74"/>
        <v>571.61003493172439</v>
      </c>
      <c r="S54" s="139">
        <f t="shared" si="74"/>
        <v>550.40007575398897</v>
      </c>
      <c r="T54" s="139">
        <f t="shared" ref="T54:Y54" si="75">T18*1000/SUM(T10:T12)</f>
        <v>547.64512595837903</v>
      </c>
      <c r="U54" s="139">
        <f t="shared" si="75"/>
        <v>540.06651908413278</v>
      </c>
      <c r="V54" s="139">
        <f t="shared" si="75"/>
        <v>535.68695474720676</v>
      </c>
      <c r="W54" s="139">
        <f t="shared" si="75"/>
        <v>529.21043781035473</v>
      </c>
      <c r="X54" s="140">
        <f t="shared" si="75"/>
        <v>515.16182698124624</v>
      </c>
      <c r="Y54" s="140">
        <f t="shared" si="75"/>
        <v>473.22562753833216</v>
      </c>
      <c r="Z54" s="140">
        <f t="shared" ref="Z54:AA54" si="76">Z18*1000/SUM(Z10:Z12)</f>
        <v>464.11903490795117</v>
      </c>
      <c r="AA54" s="140">
        <f t="shared" si="76"/>
        <v>462.91611858747342</v>
      </c>
      <c r="AB54" s="140">
        <f t="shared" ref="AB54:AC54" si="77">AB18*1000/SUM(AB10:AB12)</f>
        <v>450.99242889298137</v>
      </c>
      <c r="AC54" s="140">
        <f t="shared" si="77"/>
        <v>444.76924648545855</v>
      </c>
      <c r="AD54" s="139">
        <f t="shared" ref="AD54:AE54" si="78">AD18*1000/SUM(AD10:AD12)</f>
        <v>429.36384524334488</v>
      </c>
      <c r="AE54" s="139">
        <f t="shared" si="78"/>
        <v>435.42701797768342</v>
      </c>
      <c r="AF54" s="139">
        <f t="shared" ref="AF54:AG54" si="79">AF18*1000/SUM(AF10:AF12)</f>
        <v>415.54337407141145</v>
      </c>
      <c r="AG54" s="139">
        <f t="shared" si="79"/>
        <v>399.4116802984646</v>
      </c>
      <c r="AH54" s="139">
        <f t="shared" ref="AH54:AI54" si="80">AH18*1000/SUM(AH10:AH12)</f>
        <v>398.88357480469574</v>
      </c>
      <c r="AI54" s="139">
        <f t="shared" si="80"/>
        <v>399.30196305646376</v>
      </c>
      <c r="AJ54" s="139">
        <f t="shared" ref="AJ54:AK54" si="81">AJ18*1000/SUM(AJ10:AJ12)</f>
        <v>378.99395071251672</v>
      </c>
      <c r="AK54" s="139">
        <f t="shared" si="81"/>
        <v>362.26381382052085</v>
      </c>
      <c r="AL54" s="139">
        <f t="shared" ref="AL54:AM54" si="82">AL18*1000/SUM(AL10:AL12)</f>
        <v>378.0720801789289</v>
      </c>
      <c r="AM54" s="139">
        <f t="shared" si="82"/>
        <v>356.84795602716258</v>
      </c>
      <c r="AN54" s="139">
        <f t="shared" ref="AN54:AP54" si="83">AN18*1000/SUM(AN10:AN12)</f>
        <v>414.28031514376255</v>
      </c>
      <c r="AO54" s="139">
        <f t="shared" si="83"/>
        <v>384.94393661171313</v>
      </c>
      <c r="AP54" s="139">
        <f t="shared" si="83"/>
        <v>389.23962649270686</v>
      </c>
      <c r="AQ54" s="139">
        <f t="shared" ref="AQ54:AT54" si="84">AQ18*1000/SUM(AQ10:AQ12)</f>
        <v>393.77358361354032</v>
      </c>
      <c r="AR54" s="139">
        <f t="shared" si="84"/>
        <v>389.19921756841234</v>
      </c>
      <c r="AS54" s="139">
        <f t="shared" si="84"/>
        <v>382.87113745733956</v>
      </c>
      <c r="AT54" s="139">
        <f t="shared" si="84"/>
        <v>363.40654131774374</v>
      </c>
      <c r="AU54" s="139">
        <f t="shared" ref="AU54" si="85">AU18*1000/SUM(AU10:AU12)</f>
        <v>359.09670005745545</v>
      </c>
      <c r="AV54" s="160"/>
    </row>
    <row r="55" spans="1:48" x14ac:dyDescent="0.25">
      <c r="A55" s="43" t="s">
        <v>124</v>
      </c>
      <c r="D55" s="116"/>
      <c r="E55" s="139">
        <f>E18*1000/SUM(E11:E12)</f>
        <v>3820.668264486113</v>
      </c>
      <c r="F55" s="139">
        <f t="shared" ref="F55:S55" si="86">F18*1000/SUM(F11:F12)</f>
        <v>3946.4746637685098</v>
      </c>
      <c r="G55" s="139">
        <f t="shared" si="86"/>
        <v>4015.1314043005045</v>
      </c>
      <c r="H55" s="139">
        <f t="shared" si="86"/>
        <v>4583.4727333556375</v>
      </c>
      <c r="I55" s="139">
        <f t="shared" si="86"/>
        <v>4141.7748204756572</v>
      </c>
      <c r="J55" s="139">
        <f t="shared" si="86"/>
        <v>3775.7469699915741</v>
      </c>
      <c r="K55" s="139">
        <f t="shared" si="86"/>
        <v>3723.603648631763</v>
      </c>
      <c r="L55" s="139">
        <f t="shared" si="86"/>
        <v>3136.4758292697611</v>
      </c>
      <c r="M55" s="139">
        <f t="shared" si="86"/>
        <v>2631.8800778121067</v>
      </c>
      <c r="N55" s="139">
        <f t="shared" si="86"/>
        <v>2191.5927334178286</v>
      </c>
      <c r="O55" s="139">
        <f t="shared" si="86"/>
        <v>1965.0961493473073</v>
      </c>
      <c r="P55" s="139">
        <f t="shared" si="86"/>
        <v>1966.682091624248</v>
      </c>
      <c r="Q55" s="139">
        <f t="shared" si="86"/>
        <v>1531.8200807686951</v>
      </c>
      <c r="R55" s="139">
        <f t="shared" si="86"/>
        <v>1093.7462022701311</v>
      </c>
      <c r="S55" s="139">
        <f t="shared" si="86"/>
        <v>990.73186321508467</v>
      </c>
      <c r="T55" s="139">
        <f t="shared" ref="T55:U55" si="87">T18*1000/SUM(T11:T12)</f>
        <v>958.60044335270504</v>
      </c>
      <c r="U55" s="139">
        <f t="shared" si="87"/>
        <v>905.69963054628931</v>
      </c>
      <c r="V55" s="139">
        <f t="shared" ref="V55:W55" si="88">V18*1000/SUM(V11:V12)</f>
        <v>872.48433682881023</v>
      </c>
      <c r="W55" s="139">
        <f t="shared" si="88"/>
        <v>845.28850407634457</v>
      </c>
      <c r="X55" s="140">
        <f t="shared" ref="X55:Y55" si="89">X18*1000/SUM(X11:X12)</f>
        <v>800.97586784633017</v>
      </c>
      <c r="Y55" s="140">
        <f t="shared" si="89"/>
        <v>714.03504035850233</v>
      </c>
      <c r="Z55" s="140">
        <f t="shared" ref="Z55:AA55" si="90">Z18*1000/SUM(Z11:Z12)</f>
        <v>686.5892183837766</v>
      </c>
      <c r="AA55" s="140">
        <f t="shared" si="90"/>
        <v>676.35826044104965</v>
      </c>
      <c r="AB55" s="140">
        <f t="shared" ref="AB55:AC55" si="91">AB18*1000/SUM(AB11:AB12)</f>
        <v>646.36463881003215</v>
      </c>
      <c r="AC55" s="140">
        <f t="shared" si="91"/>
        <v>624.8413057637747</v>
      </c>
      <c r="AD55" s="139">
        <f t="shared" ref="AD55:AE55" si="92">AD18*1000/SUM(AD11:AD12)</f>
        <v>595.44883967942326</v>
      </c>
      <c r="AE55" s="139">
        <f t="shared" si="92"/>
        <v>601.32992544357364</v>
      </c>
      <c r="AF55" s="139">
        <f t="shared" ref="AF55:AG55" si="93">AF18*1000/SUM(AF11:AF12)</f>
        <v>567.8643429495379</v>
      </c>
      <c r="AG55" s="139">
        <f t="shared" si="93"/>
        <v>536.37151941420177</v>
      </c>
      <c r="AH55" s="139">
        <f t="shared" ref="AH55:AI55" si="94">AH18*1000/SUM(AH11:AH12)</f>
        <v>533.74371293446438</v>
      </c>
      <c r="AI55" s="139">
        <f t="shared" si="94"/>
        <v>538.35137447457498</v>
      </c>
      <c r="AJ55" s="139">
        <f t="shared" ref="AJ55:AK55" si="95">AJ18*1000/SUM(AJ11:AJ12)</f>
        <v>509.26978296251173</v>
      </c>
      <c r="AK55" s="139">
        <f t="shared" si="95"/>
        <v>480.32015703262488</v>
      </c>
      <c r="AL55" s="139">
        <f t="shared" ref="AL55:AM55" si="96">AL18*1000/SUM(AL11:AL12)</f>
        <v>509.44109093145653</v>
      </c>
      <c r="AM55" s="139">
        <f t="shared" si="96"/>
        <v>487.20774686398397</v>
      </c>
      <c r="AN55" s="139">
        <f t="shared" ref="AN55:AO55" si="97">AN18*1000/SUM(AN11:AN12)</f>
        <v>644.51203654496317</v>
      </c>
      <c r="AO55" s="139">
        <f t="shared" si="97"/>
        <v>617.58104199939567</v>
      </c>
      <c r="AP55" s="139"/>
      <c r="AQ55" s="139"/>
      <c r="AR55" s="139">
        <f t="shared" ref="AR55:AS55" si="98">AR18*1000/SUM(AR11:AR12)</f>
        <v>605.44587585745353</v>
      </c>
      <c r="AS55" s="139">
        <f t="shared" si="98"/>
        <v>589.72455796077315</v>
      </c>
      <c r="AT55" s="139"/>
      <c r="AU55" s="139"/>
      <c r="AV55" s="160"/>
    </row>
    <row r="56" spans="1:48" x14ac:dyDescent="0.25">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row>
    <row r="57" spans="1:48" x14ac:dyDescent="0.25">
      <c r="A57" s="43" t="s">
        <v>121</v>
      </c>
      <c r="D57" s="116"/>
      <c r="E57" s="247">
        <f>'Reported Group Highlights'!E13*1000/AVERAGE(SUM(E10:E12),SUM(D10:D12))/3</f>
        <v>40.33106486504257</v>
      </c>
      <c r="F57" s="247">
        <f>'Reported Group Highlights'!F13*1000/AVERAGE(SUM(F10:F12),SUM(E10:E12))/3</f>
        <v>41.345082789266925</v>
      </c>
      <c r="G57" s="247">
        <f>'Reported Group Highlights'!G13*1000/AVERAGE(SUM(G10:G12),SUM(F10:F12))/3</f>
        <v>39.646539475583715</v>
      </c>
      <c r="H57" s="247">
        <f>'Reported Group Highlights'!H13*1000/AVERAGE(SUM(H10:H12),SUM(G10:G12))/3</f>
        <v>31.247469058084658</v>
      </c>
      <c r="I57" s="247">
        <f>'Reported Group Highlights'!I13*1000/AVERAGE(SUM(I10:I12),SUM(H10:H12))/3</f>
        <v>35.026869634101956</v>
      </c>
      <c r="J57" s="247">
        <f>'Reported Group Highlights'!J13*1000/AVERAGE(SUM(J10:J12),SUM(I10:I12))/3</f>
        <v>33.526161757063541</v>
      </c>
      <c r="K57" s="247">
        <f>'Reported Group Highlights'!K13*1000/AVERAGE(SUM(K10:K12),SUM(J10:J12))/3</f>
        <v>31.814397440688079</v>
      </c>
      <c r="L57" s="247">
        <f>'Reported Group Highlights'!L13*1000/AVERAGE(SUM(L10:L12),SUM(K10:K12))/3</f>
        <v>28.85073460754235</v>
      </c>
      <c r="M57" s="247">
        <f>'Reported Group Highlights'!M13*1000/AVERAGE(SUM(M10:M12),SUM(L10:L12))/3</f>
        <v>29.05642590456344</v>
      </c>
      <c r="N57" s="247">
        <f>'Reported Group Highlights'!N13*1000/AVERAGE(SUM(N10:N12),SUM(M10:M12))/3</f>
        <v>29.673733273191999</v>
      </c>
      <c r="O57" s="247">
        <f>'Reported Group Highlights'!O13*1000/AVERAGE(SUM(O10:O12),SUM(N10:N12))/3</f>
        <v>29.125679739072805</v>
      </c>
      <c r="P57" s="247">
        <f>'Reported Group Highlights'!P13*1000/AVERAGE(SUM(P10:P12),SUM(O10:O12))/3</f>
        <v>27.02985382621404</v>
      </c>
      <c r="Q57" s="247">
        <f>'Reported Group Highlights'!Q13*1000/AVERAGE(SUM(Q10:Q12),SUM(P10:P12))/3</f>
        <v>23.759965335651376</v>
      </c>
      <c r="R57" s="247">
        <f>'Reported Group Highlights'!R13*1000/AVERAGE(SUM(R10:R12),SUM(Q10:Q12))/3</f>
        <v>20.8577454886337</v>
      </c>
      <c r="S57" s="247">
        <f>'Reported Group Highlights'!S13*1000/AVERAGE(SUM(S10:S12),SUM(R10:R12))/3</f>
        <v>18.728542339372623</v>
      </c>
      <c r="T57" s="247">
        <f>'Reported Group Highlights'!T13*1000/AVERAGE(SUM(T10:T12),SUM(S10:S12))/3</f>
        <v>17.811911788627331</v>
      </c>
      <c r="U57" s="247">
        <f>'Reported Group Highlights'!U13*1000/AVERAGE(SUM(U10:U12),SUM(T10:T12))/3</f>
        <v>18.496131305603857</v>
      </c>
      <c r="V57" s="247">
        <f>'Reported Group Highlights'!V13*1000/AVERAGE(SUM(V10:V12),SUM(U10:U12))/3</f>
        <v>18.380049291950375</v>
      </c>
      <c r="W57" s="247">
        <f>'Reported Group Highlights'!W13*1000/AVERAGE(SUM(W10:W12),SUM(V10:V12))/3</f>
        <v>17.930778155590939</v>
      </c>
      <c r="X57" s="247">
        <f>'Reported Group Highlights'!X13*1000/AVERAGE(SUM(X10:X12),SUM(W10:W12))/3</f>
        <v>15.639540616571445</v>
      </c>
      <c r="Y57" s="247">
        <f>'Reported Group Highlights'!Y13*1000/AVERAGE(SUM(Y10:Y12),SUM(X10:X12))/3</f>
        <v>14.836447925188516</v>
      </c>
      <c r="Z57" s="247">
        <f>'Reported Group Highlights'!Z13*1000/AVERAGE(SUM(Z10:Z12),SUM(Y10:Y12))/3</f>
        <v>14.763115713115711</v>
      </c>
      <c r="AA57" s="247">
        <f>'Reported Group Highlights'!AA13*1000/AVERAGE(SUM(AA10:AA12),SUM(Z10:Z12))/3</f>
        <v>15.175211235604026</v>
      </c>
      <c r="AB57" s="247">
        <f>'Reported Group Highlights'!AB13*1000/AVERAGE(SUM(AB10:AB12),SUM(AA10:AA12))/3</f>
        <v>14.997628451931504</v>
      </c>
      <c r="AC57" s="247">
        <f>'Reported Group Highlights'!AC13*1000/AVERAGE(SUM(AC10:AC12),SUM(AB10:AB12))/3</f>
        <v>15.240506430610347</v>
      </c>
      <c r="AD57" s="247">
        <f>'Reported Group Highlights'!AD13*1000/AVERAGE(SUM(AD10:AD12),SUM(AC10:AC12))/3</f>
        <v>15.432393308331839</v>
      </c>
      <c r="AE57" s="247">
        <f>'Reported Group Highlights'!AE13*1000/AVERAGE(SUM(AE10:AE12),SUM(AD10:AD12))/3</f>
        <v>15.143046167048205</v>
      </c>
      <c r="AF57" s="247">
        <f>'Reported Group Highlights'!AF13*1000/AVERAGE(SUM(AF10:AF12),SUM(AE10:AE12))/3</f>
        <v>15.183887955776806</v>
      </c>
      <c r="AG57" s="247">
        <f>'Reported Group Highlights'!AG13*1000/AVERAGE(SUM(AG10:AG12),SUM(AF10:AF12))/3</f>
        <v>15.094317176957988</v>
      </c>
      <c r="AH57" s="247">
        <f>'Reported Group Highlights'!AH13*1000/AVERAGE(SUM(AH10:AH12),SUM(AG10:AG12))/3</f>
        <v>14.537874113110478</v>
      </c>
      <c r="AI57" s="247">
        <f>'Reported Group Highlights'!AI13*1000/AVERAGE(SUM(AI10:AI12),SUM(AH10:AH12))/3</f>
        <v>13.624917702914475</v>
      </c>
      <c r="AJ57" s="247">
        <f>'Reported Group Highlights'!AJ13*1000/AVERAGE(SUM(AJ10:AJ12),SUM(AI10:AI12))/3</f>
        <v>13.179102166477664</v>
      </c>
      <c r="AK57" s="247">
        <f>'Reported Group Highlights'!AK13*1000/AVERAGE(SUM(AK10:AK12),SUM(AJ10:AJ12))/3</f>
        <v>13.748606709469778</v>
      </c>
      <c r="AL57" s="247">
        <f>'Reported Group Highlights'!AL13*1000/AVERAGE(SUM(AL10:AL12),SUM(AK10:AK12))/3</f>
        <v>13.63109359512706</v>
      </c>
      <c r="AM57" s="247">
        <f>'Reported Group Highlights'!AM13*1000/AVERAGE(SUM(AM10:AM12),SUM(AL10:AL12))/3</f>
        <v>13.51671371408476</v>
      </c>
      <c r="AN57" s="247">
        <f>'Reported Group Highlights'!AN13*1000/AVERAGE(SUM(AN10:AN12),SUM(AM10:AM12))/3</f>
        <v>14.410560131612586</v>
      </c>
      <c r="AO57" s="247">
        <f>'Reported Group Highlights'!AO13*1000/AVERAGE(SUM(AO10:AO12),SUM(AN10:AN12))/3</f>
        <v>16.106008894043505</v>
      </c>
      <c r="AP57" s="247">
        <f>'Reported Group Highlights'!AP13*1000/AVERAGE(SUM(AP10:AP12),SUM(AO10:AO12))/3</f>
        <v>15.998057212065547</v>
      </c>
      <c r="AQ57" s="247">
        <f>'Reported Group Highlights'!AQ13*1000/AVERAGE(SUM(AQ10:AQ12),SUM(AP10:AP12))/3</f>
        <v>16.590982089111495</v>
      </c>
      <c r="AR57" s="247">
        <f>'Reported Group Highlights'!AR13*1000/AVERAGE(SUM(AR10:AR12),SUM(AQ10:AQ12))/3</f>
        <v>16.498454266879246</v>
      </c>
      <c r="AS57" s="247">
        <f>'Reported Group Highlights'!AS13*1000/AVERAGE(SUM(AS10:AS12),SUM(AR10:AR12))/3</f>
        <v>17.508380682133573</v>
      </c>
      <c r="AT57" s="247">
        <f>'Reported Group Highlights'!AT13*1000/AVERAGE(SUM(AT10:AT12),SUM(AS10:AS12))/3</f>
        <v>16.527892579773038</v>
      </c>
      <c r="AU57" s="247">
        <f>'Reported Group Highlights'!AU13*1000/AVERAGE(SUM(AU10:AU12),SUM(AT10:AT12))/3</f>
        <v>16.853805100691378</v>
      </c>
      <c r="AV57" s="70"/>
    </row>
    <row r="58" spans="1:48" x14ac:dyDescent="0.25">
      <c r="A58" s="43" t="s">
        <v>122</v>
      </c>
      <c r="D58" s="116"/>
      <c r="E58" s="247">
        <f>'Reported Group Highlights'!E13*1000/AVERAGE(SUM(E11:E13),SUM(D11:D13))/3</f>
        <v>47.566425296381389</v>
      </c>
      <c r="F58" s="247">
        <f>'Reported Group Highlights'!F13*1000/AVERAGE(SUM(F11:F13),SUM(E11:E13))/3</f>
        <v>109.03768752286864</v>
      </c>
      <c r="G58" s="247">
        <f>'Reported Group Highlights'!G13*1000/AVERAGE(SUM(G11:G13),SUM(F11:F13))/3</f>
        <v>104.01778149886871</v>
      </c>
      <c r="H58" s="247">
        <f>'Reported Group Highlights'!H13*1000/AVERAGE(SUM(H11:H13),SUM(G11:G13))/3</f>
        <v>86.215477750352974</v>
      </c>
      <c r="I58" s="247">
        <f>'Reported Group Highlights'!I13*1000/AVERAGE(SUM(I11:I13),SUM(H11:H13))/3</f>
        <v>99.175557710960234</v>
      </c>
      <c r="J58" s="247">
        <f>'Reported Group Highlights'!J13*1000/AVERAGE(SUM(J11:J13),SUM(I11:I13))/3</f>
        <v>94.225040837897566</v>
      </c>
      <c r="K58" s="247">
        <f>'Reported Group Highlights'!K13*1000/AVERAGE(SUM(K11:K13),SUM(J11:J13))/3</f>
        <v>90.795984995182366</v>
      </c>
      <c r="L58" s="247">
        <f>'Reported Group Highlights'!L13*1000/AVERAGE(SUM(L11:L13),SUM(K11:K13))/3</f>
        <v>84.825055326778156</v>
      </c>
      <c r="M58" s="247">
        <f>'Reported Group Highlights'!M13*1000/AVERAGE(SUM(M11:M13),SUM(L11:L13))/3</f>
        <v>89.650487480505561</v>
      </c>
      <c r="N58" s="247">
        <f>'Reported Group Highlights'!N13*1000/AVERAGE(SUM(N11:N13),SUM(M11:M13))/3</f>
        <v>90.331557459585142</v>
      </c>
      <c r="O58" s="247">
        <f>'Reported Group Highlights'!O13*1000/AVERAGE(SUM(O11:O13),SUM(N11:N13))/3</f>
        <v>83.223763096744321</v>
      </c>
      <c r="P58" s="247">
        <f>'Reported Group Highlights'!P13*1000/AVERAGE(SUM(P11:P13),SUM(O11:O13))/3</f>
        <v>74.153347447440453</v>
      </c>
      <c r="Q58" s="247">
        <f>'Reported Group Highlights'!Q13*1000/AVERAGE(SUM(Q11:Q13),SUM(P11:P13))/3</f>
        <v>59.191268989814709</v>
      </c>
      <c r="R58" s="247">
        <f>'Reported Group Highlights'!R13*1000/AVERAGE(SUM(R11:R13),SUM(Q11:Q13))/3</f>
        <v>43.310862066497776</v>
      </c>
      <c r="S58" s="247">
        <f>'Reported Group Highlights'!S13*1000/AVERAGE(SUM(S11:S13),SUM(R11:R13))/3</f>
        <v>34.704088043173854</v>
      </c>
      <c r="T58" s="247">
        <f>'Reported Group Highlights'!T13*1000/AVERAGE(SUM(T11:T13),SUM(S11:S13))/3</f>
        <v>31.6056407718951</v>
      </c>
      <c r="U58" s="247">
        <f>'Reported Group Highlights'!U13*1000/AVERAGE(SUM(U11:U13),SUM(T11:T13))/3</f>
        <v>31.660540547350649</v>
      </c>
      <c r="V58" s="247">
        <f>'Reported Group Highlights'!V13*1000/AVERAGE(SUM(V11:V13),SUM(U11:U13))/3</f>
        <v>30.362888269746659</v>
      </c>
      <c r="W58" s="247">
        <f>'Reported Group Highlights'!W13*1000/AVERAGE(SUM(W11:W13),SUM(V11:V13))/3</f>
        <v>28.915077147369701</v>
      </c>
      <c r="X58" s="247">
        <f>'Reported Group Highlights'!X13*1000/AVERAGE(SUM(X11:X13),SUM(W11:W13))/3</f>
        <v>24.636438393713735</v>
      </c>
      <c r="Y58" s="247">
        <f>'Reported Group Highlights'!Y13*1000/AVERAGE(SUM(Y11:Y13),SUM(X11:X13))/3</f>
        <v>22.712517355247851</v>
      </c>
      <c r="Z58" s="247">
        <f>'Reported Group Highlights'!Z13*1000/AVERAGE(SUM(Z11:Z13),SUM(Y11:Y13))/3</f>
        <v>22.051309609629289</v>
      </c>
      <c r="AA58" s="247">
        <f>'Reported Group Highlights'!AA13*1000/AVERAGE(SUM(AA11:AA13),SUM(Z11:Z13))/3</f>
        <v>22.308436773258848</v>
      </c>
      <c r="AB58" s="247">
        <f>'Reported Group Highlights'!AB13*1000/AVERAGE(SUM(AB11:AB13),SUM(AA11:AA13))/3</f>
        <v>21.698598692433421</v>
      </c>
      <c r="AC58" s="247">
        <f>'Reported Group Highlights'!AC13*1000/AVERAGE(SUM(AC11:AC13),SUM(AB11:AB13))/3</f>
        <v>21.620267418912693</v>
      </c>
      <c r="AD58" s="247">
        <f>'Reported Group Highlights'!AD13*1000/AVERAGE(SUM(AD11:AD13),SUM(AC11:AC13))/3</f>
        <v>21.539184213867276</v>
      </c>
      <c r="AE58" s="247">
        <f>'Reported Group Highlights'!AE13*1000/AVERAGE(SUM(AE11:AE13),SUM(AD11:AD13))/3</f>
        <v>20.848786164790116</v>
      </c>
      <c r="AF58" s="247">
        <f>'Reported Group Highlights'!AF13*1000/AVERAGE(SUM(AF11:AF13),SUM(AE11:AE13))/3</f>
        <v>20.402341421664772</v>
      </c>
      <c r="AG58" s="247">
        <f>'Reported Group Highlights'!AG13*1000/AVERAGE(SUM(AG11:AG13),SUM(AF11:AF13))/3</f>
        <v>19.524808005548525</v>
      </c>
      <c r="AH58" s="247">
        <f>'Reported Group Highlights'!AH13*1000/AVERAGE(SUM(AH11:AH13),SUM(AG11:AG13))/3</f>
        <v>18.647527983235836</v>
      </c>
      <c r="AI58" s="247">
        <f>'Reported Group Highlights'!AI13*1000/AVERAGE(SUM(AI11:AI13),SUM(AH11:AH13))/3</f>
        <v>17.91971449435102</v>
      </c>
      <c r="AJ58" s="247">
        <f>'Reported Group Highlights'!AJ13*1000/AVERAGE(SUM(AJ11:AJ13),SUM(AI11:AI13))/3</f>
        <v>17.415567200940057</v>
      </c>
      <c r="AK58" s="247">
        <f>'Reported Group Highlights'!AK13*1000/AVERAGE(SUM(AK11:AK13),SUM(AJ11:AJ13))/3</f>
        <v>17.477193216829345</v>
      </c>
      <c r="AL58" s="247">
        <f>'Reported Group Highlights'!AL13*1000/AVERAGE(SUM(AL11:AL13),SUM(AK11:AK13))/3</f>
        <v>17.264073437165994</v>
      </c>
      <c r="AM58" s="247">
        <f>'Reported Group Highlights'!AM13*1000/AVERAGE(SUM(AM11:AM13),SUM(AL11:AL13))/3</f>
        <v>17.469645972041373</v>
      </c>
      <c r="AN58" s="247">
        <f>'Reported Group Highlights'!AN13*1000/AVERAGE(SUM(AN11:AN13),SUM(AM11:AM13))/3</f>
        <v>19.529509950136333</v>
      </c>
      <c r="AO58" s="247">
        <f>'Reported Group Highlights'!AO13*1000/AVERAGE(SUM(AO11:AO13),SUM(AN11:AN13))/3</f>
        <v>23.969274759552899</v>
      </c>
      <c r="AP58" s="247">
        <f>'Reported Group Highlights'!AP13*1000/AVERAGE(SUM(AP11:AP13),SUM(AO11:AO13))/3</f>
        <v>24.787229070310918</v>
      </c>
      <c r="AQ58" s="247">
        <f>'Reported Group Highlights'!AQ13*1000/AVERAGE(SUM(AQ11:AQ13),SUM(AP11:AP13))/3</f>
        <v>25.868129377285484</v>
      </c>
      <c r="AR58" s="247">
        <f>'Reported Group Highlights'!AR13*1000/AVERAGE(SUM(AR11:AR13),SUM(AQ11:AQ13))/3</f>
        <v>25.235850737233537</v>
      </c>
      <c r="AS58" s="247">
        <f>'Reported Group Highlights'!AS13*1000/AVERAGE(SUM(AS11:AS13),SUM(AR11:AR13))/3</f>
        <v>26.353853763527109</v>
      </c>
      <c r="AT58" s="247">
        <f>'Reported Group Highlights'!AT13*1000/AVERAGE(SUM(AT11:AT13),SUM(AS11:AS13))/3</f>
        <v>24.151273957974567</v>
      </c>
      <c r="AU58" s="247">
        <f>'Reported Group Highlights'!AU13*1000/AVERAGE(SUM(AU11:AU13),SUM(AT11:AT13))/3</f>
        <v>24.556693670190853</v>
      </c>
      <c r="AV58" s="70"/>
    </row>
    <row r="59" spans="1:48" x14ac:dyDescent="0.25">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row>
    <row r="60" spans="1:48" x14ac:dyDescent="0.25">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row>
    <row r="61" spans="1:48" x14ac:dyDescent="0.25">
      <c r="A61" s="43" t="s">
        <v>126</v>
      </c>
      <c r="D61" s="167"/>
      <c r="E61" s="247">
        <f>'Reported Group Highlights'!E36*1000/AVERAGE(E14,D14)/3</f>
        <v>39.696438995913603</v>
      </c>
      <c r="F61" s="247">
        <f>'Reported Group Highlights'!F36*1000/AVERAGE(F14,E14)/3</f>
        <v>38.70967741935484</v>
      </c>
      <c r="G61" s="247">
        <f>'Reported Group Highlights'!G36*1000/AVERAGE(G14,F14)/3</f>
        <v>38.029100529100525</v>
      </c>
      <c r="H61" s="247">
        <f>'Reported Group Highlights'!H36*1000/AVERAGE(H14,G14)/3</f>
        <v>41.782729805013929</v>
      </c>
      <c r="I61" s="247">
        <f>'Reported Group Highlights'!I36*1000/AVERAGE(I14,H14)/3</f>
        <v>45.327446651949963</v>
      </c>
      <c r="J61" s="247">
        <f>'Reported Group Highlights'!J36*1000/AVERAGE(J14,I14)/3</f>
        <v>45.868110384239422</v>
      </c>
      <c r="K61" s="247">
        <f>'Reported Group Highlights'!K36*1000/AVERAGE(K14,J14)/3</f>
        <v>42.648190916089298</v>
      </c>
      <c r="L61" s="247">
        <f>'Reported Group Highlights'!L36*1000/AVERAGE(L14,K14)/3</f>
        <v>40.408842405514619</v>
      </c>
      <c r="M61" s="247">
        <f>'Reported Group Highlights'!M36*1000/AVERAGE(M14,L14)/3</f>
        <v>44.003868471953581</v>
      </c>
      <c r="N61" s="247">
        <f>'Reported Group Highlights'!N36*1000/AVERAGE(N14,M14)/3</f>
        <v>44.994739823581774</v>
      </c>
      <c r="O61" s="247">
        <f>'Reported Group Highlights'!O36*1000/AVERAGE(O14,N14)/3</f>
        <v>46.207853702343044</v>
      </c>
      <c r="P61" s="247">
        <f>'Reported Group Highlights'!P36*1000/AVERAGE(P14,O14)/3</f>
        <v>54.787635084192004</v>
      </c>
      <c r="Q61" s="247">
        <f>'Reported Group Highlights'!Q36*1000/AVERAGE(Q14,P14)/3</f>
        <v>47.570506286102614</v>
      </c>
      <c r="R61" s="247">
        <f>'Reported Group Highlights'!R36*1000/AVERAGE(R14,Q14)/3</f>
        <v>44.060328757837652</v>
      </c>
      <c r="S61" s="247">
        <f>'Reported Group Highlights'!S36*1000/AVERAGE(S14,R14)/3</f>
        <v>50.242550242550244</v>
      </c>
      <c r="T61" s="247">
        <f>'Reported Group Highlights'!T36*1000/AVERAGE(T14,S14)/3</f>
        <v>45.326278659611994</v>
      </c>
      <c r="U61" s="247">
        <f>'Reported Group Highlights'!U36*1000/AVERAGE(U14,T14)/3</f>
        <v>46.10492845786964</v>
      </c>
      <c r="V61" s="247">
        <f>'Reported Group Highlights'!V36*1000/AVERAGE(V14,U14)/3</f>
        <v>49.889036839769197</v>
      </c>
      <c r="W61" s="247">
        <f>'Reported Group Highlights'!W36*1000/AVERAGE(W14,V14)/3</f>
        <v>104.51576256745243</v>
      </c>
      <c r="X61" s="247">
        <f>'Reported Group Highlights'!X36*1000/AVERAGE(X14,W14)/3</f>
        <v>53.002821442966543</v>
      </c>
      <c r="Y61" s="247">
        <f>'Reported Group Highlights'!Y36*1000/AVERAGE(Y14,X14)/3</f>
        <v>52.900510970844607</v>
      </c>
      <c r="Z61" s="247">
        <f>'Reported Group Highlights'!Z36*1000/AVERAGE(Z14,Y14)/3</f>
        <v>46.525499552639424</v>
      </c>
      <c r="AA61" s="247">
        <f>'Reported Group Highlights'!AA36*1000/AVERAGE(AA14,Z14)/3</f>
        <v>54.778207799940454</v>
      </c>
      <c r="AB61" s="247">
        <f>'Reported Group Highlights'!AB36*1000/AVERAGE(AB14,AA14)/3</f>
        <v>59.829059829059823</v>
      </c>
      <c r="AC61" s="247">
        <f>'Reported Group Highlights'!AC36*1000/AVERAGE(AC14,AB14)/3</f>
        <v>63.82137917407627</v>
      </c>
      <c r="AD61" s="247">
        <f>'Reported Group Highlights'!AD36*1000/AVERAGE(AD14,AC14)/3</f>
        <v>65.652044165920628</v>
      </c>
      <c r="AE61" s="247">
        <f>'Reported Group Highlights'!AE36*1000/AVERAGE(AE14,AD14)/3</f>
        <v>66.564260112647204</v>
      </c>
      <c r="AF61" s="247">
        <f>'Reported Group Highlights'!AF36*1000/AVERAGE(AF14,AE14)/3</f>
        <v>63.699553895632327</v>
      </c>
      <c r="AG61" s="247">
        <f>'Reported Group Highlights'!AG36*1000/AVERAGE(AG14,AF14)/3</f>
        <v>62.783973564642707</v>
      </c>
      <c r="AH61" s="247">
        <f>'Reported Group Highlights'!AH36*1000/AVERAGE(AH14,AG14)/3</f>
        <v>70.429721362229103</v>
      </c>
      <c r="AI61" s="247">
        <f>'Reported Group Highlights'!AI36*1000/AVERAGE(AI14,AH14)/3</f>
        <v>66.652592362620297</v>
      </c>
      <c r="AJ61" s="247">
        <f>'Reported Group Highlights'!AJ36*1000/AVERAGE(AJ14,AI14)/3</f>
        <v>49.016250000000007</v>
      </c>
      <c r="AK61" s="247">
        <f>'Reported Group Highlights'!AK36*1000/AVERAGE(AK14,AJ14)/3</f>
        <v>71.527460920997044</v>
      </c>
      <c r="AL61" s="247">
        <f>'Reported Group Highlights'!AL36*1000/AVERAGE(AL14,AK14)/3</f>
        <v>49.109616821432375</v>
      </c>
      <c r="AM61" s="247">
        <f>'Reported Group Highlights'!AM36*1000/AVERAGE(AM14,AL14)/3</f>
        <v>57.940750213128716</v>
      </c>
      <c r="AN61" s="247">
        <f>'Reported Group Highlights'!AN36*1000/AVERAGE(AN14,AM14)/3</f>
        <v>62.845450680272108</v>
      </c>
      <c r="AO61" s="167" t="e">
        <f>'Reported Group Highlights'!AO36*1000/AVERAGE(AO14,AN14)/3</f>
        <v>#DIV/0!</v>
      </c>
      <c r="AP61" s="167" t="e">
        <f>'Reported Group Highlights'!AP36*1000/AVERAGE(AP14,AO14)/3</f>
        <v>#DIV/0!</v>
      </c>
      <c r="AQ61" s="167" t="e">
        <f>'Reported Group Highlights'!AQ36*1000/AVERAGE(AQ14,AP14)/3</f>
        <v>#DIV/0!</v>
      </c>
      <c r="AR61" s="247" t="e">
        <f>'Reported Group Highlights'!AR36*1000/AVERAGE(AR14,AQ14)/3</f>
        <v>#DIV/0!</v>
      </c>
      <c r="AS61" s="247" t="e">
        <f>'Reported Group Highlights'!AS36*1000/AVERAGE(AS14,AR14)/3</f>
        <v>#DIV/0!</v>
      </c>
      <c r="AT61" s="167" t="e">
        <f>'Reported Group Highlights'!AT36*1000/AVERAGE(AT14,AS14)/3</f>
        <v>#DIV/0!</v>
      </c>
      <c r="AU61" s="167" t="e">
        <f>'Reported Group Highlights'!AU36*1000/AVERAGE(AU14,AT14)/3</f>
        <v>#DIV/0!</v>
      </c>
      <c r="AV61" s="70"/>
    </row>
    <row r="62" spans="1:48" x14ac:dyDescent="0.25">
      <c r="A62" s="43" t="s">
        <v>83</v>
      </c>
      <c r="D62" s="116"/>
      <c r="E62" s="116"/>
      <c r="F62" s="116"/>
      <c r="G62" s="116"/>
      <c r="H62" s="116"/>
      <c r="I62" s="151">
        <f t="shared" ref="I62:R62" si="99">I61/E61-1</f>
        <v>0.1418517075704453</v>
      </c>
      <c r="J62" s="151">
        <f t="shared" si="99"/>
        <v>0.18492618492618496</v>
      </c>
      <c r="K62" s="151">
        <f t="shared" si="99"/>
        <v>0.12146199417612213</v>
      </c>
      <c r="L62" s="151">
        <f t="shared" si="99"/>
        <v>-3.2881705094683467E-2</v>
      </c>
      <c r="M62" s="151">
        <f t="shared" si="99"/>
        <v>-2.9200369263231885E-2</v>
      </c>
      <c r="N62" s="151">
        <f t="shared" si="99"/>
        <v>-1.9040909977354192E-2</v>
      </c>
      <c r="O62" s="151">
        <f t="shared" si="99"/>
        <v>8.3465739338332456E-2</v>
      </c>
      <c r="P62" s="151">
        <f t="shared" si="99"/>
        <v>0.35583282823056339</v>
      </c>
      <c r="Q62" s="151">
        <f t="shared" si="99"/>
        <v>8.1052824172090032E-2</v>
      </c>
      <c r="R62" s="151">
        <f t="shared" si="99"/>
        <v>-2.076711787661889E-2</v>
      </c>
      <c r="S62" s="151">
        <f t="shared" ref="S62:W62" si="100">S61/O61-1</f>
        <v>8.7316250743812773E-2</v>
      </c>
      <c r="T62" s="151">
        <f t="shared" si="100"/>
        <v>-0.17269145510735717</v>
      </c>
      <c r="U62" s="151">
        <f t="shared" si="100"/>
        <v>-3.0808539632068865E-2</v>
      </c>
      <c r="V62" s="151">
        <f t="shared" si="100"/>
        <v>0.13228925535183866</v>
      </c>
      <c r="W62" s="151">
        <f t="shared" si="100"/>
        <v>1.0802240742735703</v>
      </c>
      <c r="X62" s="244">
        <f t="shared" ref="X62:AI62" si="101">X61/T61-1</f>
        <v>0.16936185829424244</v>
      </c>
      <c r="Y62" s="244">
        <f t="shared" si="101"/>
        <v>0.14739384140211209</v>
      </c>
      <c r="Z62" s="244">
        <f t="shared" si="101"/>
        <v>-6.7420369287396587E-2</v>
      </c>
      <c r="AA62" s="244">
        <f t="shared" si="101"/>
        <v>-0.47588568026198275</v>
      </c>
      <c r="AB62" s="244">
        <f t="shared" si="101"/>
        <v>0.12879009456956214</v>
      </c>
      <c r="AC62" s="244">
        <f t="shared" si="101"/>
        <v>0.20644163927358949</v>
      </c>
      <c r="AD62" s="151">
        <f t="shared" si="101"/>
        <v>0.41109810313033268</v>
      </c>
      <c r="AE62" s="151">
        <f t="shared" si="101"/>
        <v>0.21515950933903261</v>
      </c>
      <c r="AF62" s="151">
        <f t="shared" si="101"/>
        <v>6.4692543684140347E-2</v>
      </c>
      <c r="AG62" s="151">
        <f t="shared" si="101"/>
        <v>-1.6254829069174193E-2</v>
      </c>
      <c r="AH62" s="151">
        <f t="shared" si="101"/>
        <v>7.2772710385589523E-2</v>
      </c>
      <c r="AI62" s="151">
        <f t="shared" si="101"/>
        <v>1.3270221861341192E-3</v>
      </c>
      <c r="AJ62" s="151">
        <f t="shared" ref="AJ62:AU62" si="102">AJ61/AF61-1</f>
        <v>-0.23050873982084685</v>
      </c>
      <c r="AK62" s="151">
        <f t="shared" si="102"/>
        <v>0.13926304532719636</v>
      </c>
      <c r="AL62" s="151">
        <f t="shared" si="102"/>
        <v>-0.30271459446992122</v>
      </c>
      <c r="AM62" s="151">
        <f t="shared" si="102"/>
        <v>-0.13070522601874524</v>
      </c>
      <c r="AN62" s="151">
        <f t="shared" si="102"/>
        <v>0.28213502012642944</v>
      </c>
      <c r="AO62" s="119" t="e">
        <f t="shared" si="102"/>
        <v>#DIV/0!</v>
      </c>
      <c r="AP62" s="119" t="e">
        <f t="shared" si="102"/>
        <v>#DIV/0!</v>
      </c>
      <c r="AQ62" s="119" t="e">
        <f t="shared" si="102"/>
        <v>#DIV/0!</v>
      </c>
      <c r="AR62" s="151" t="e">
        <f t="shared" si="102"/>
        <v>#DIV/0!</v>
      </c>
      <c r="AS62" s="151" t="e">
        <f t="shared" si="102"/>
        <v>#DIV/0!</v>
      </c>
      <c r="AT62" s="119" t="e">
        <f t="shared" si="102"/>
        <v>#DIV/0!</v>
      </c>
      <c r="AU62" s="119" t="e">
        <f t="shared" si="102"/>
        <v>#DIV/0!</v>
      </c>
      <c r="AV62" s="134"/>
    </row>
    <row r="63" spans="1:48" x14ac:dyDescent="0.25">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row>
    <row r="64" spans="1:48" x14ac:dyDescent="0.25">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6"/>
      <c r="AL64" s="116"/>
      <c r="AM64" s="116"/>
      <c r="AN64" s="116"/>
      <c r="AO64" s="116"/>
      <c r="AP64" s="116"/>
      <c r="AQ64" s="116"/>
      <c r="AR64" s="116"/>
      <c r="AS64" s="116"/>
      <c r="AT64" s="116"/>
      <c r="AU64" s="116"/>
    </row>
    <row r="65" spans="1:49" x14ac:dyDescent="0.25">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row>
    <row r="66" spans="1:49" x14ac:dyDescent="0.25">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row>
    <row r="67" spans="1:49" s="36" customFormat="1" x14ac:dyDescent="0.25">
      <c r="A67" s="33" t="s">
        <v>79</v>
      </c>
      <c r="B67" s="33"/>
      <c r="C67" s="33"/>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3"/>
      <c r="AW67" s="33"/>
    </row>
    <row r="68" spans="1:49" x14ac:dyDescent="0.25">
      <c r="A68" s="43" t="s">
        <v>193</v>
      </c>
      <c r="C68" s="134"/>
      <c r="D68" s="131"/>
      <c r="E68" s="131"/>
      <c r="F68" s="131"/>
      <c r="G68" s="131"/>
      <c r="H68" s="131"/>
      <c r="I68" s="131"/>
      <c r="J68" s="131"/>
      <c r="K68" s="131"/>
      <c r="L68" s="168">
        <v>28159.38</v>
      </c>
      <c r="M68" s="168">
        <v>28049.63</v>
      </c>
      <c r="N68" s="168">
        <v>20319.983950000002</v>
      </c>
      <c r="O68" s="169">
        <v>22627.08</v>
      </c>
      <c r="P68" s="169">
        <v>22934.880000000001</v>
      </c>
      <c r="Q68" s="169">
        <v>23744.880000000001</v>
      </c>
      <c r="R68" s="169">
        <v>29231.8</v>
      </c>
      <c r="S68" s="169">
        <v>30208.100000000002</v>
      </c>
      <c r="T68" s="169">
        <v>32624.36</v>
      </c>
      <c r="U68" s="169">
        <v>35333.899999999994</v>
      </c>
      <c r="V68" s="169">
        <v>37791.360000000001</v>
      </c>
      <c r="W68" s="169">
        <v>39061.57</v>
      </c>
      <c r="X68" s="169">
        <v>41454.199999999997</v>
      </c>
      <c r="Y68" s="169">
        <v>41794.160000000003</v>
      </c>
      <c r="Z68" s="169">
        <v>43087.200000000004</v>
      </c>
      <c r="AA68" s="169">
        <v>45025.38</v>
      </c>
      <c r="AB68" s="169">
        <v>47350.74</v>
      </c>
      <c r="AC68" s="169">
        <v>49771.92</v>
      </c>
      <c r="AD68" s="169">
        <v>48840</v>
      </c>
      <c r="AE68" s="140">
        <f>88%*AE18</f>
        <v>49896</v>
      </c>
      <c r="AF68" s="140">
        <f>88%*AF18</f>
        <v>48831.199999999997</v>
      </c>
      <c r="AG68" s="140">
        <f>89%*AG18</f>
        <v>49546.3</v>
      </c>
      <c r="AH68" s="140">
        <f>90%*AH18</f>
        <v>51192</v>
      </c>
      <c r="AI68" s="140">
        <f>91%*AI18</f>
        <v>52679.9</v>
      </c>
      <c r="AJ68" s="140">
        <f>92%*AJ18</f>
        <v>51529.200000000004</v>
      </c>
      <c r="AK68" s="140">
        <f>92%*AK18</f>
        <v>52228.4</v>
      </c>
      <c r="AL68" s="140">
        <f>92%*AL18</f>
        <v>53341.600000000006</v>
      </c>
      <c r="AM68" s="140">
        <f>92%*AM18</f>
        <v>53277.200000000004</v>
      </c>
      <c r="AN68" s="140">
        <f>93%*AN18</f>
        <v>53010</v>
      </c>
      <c r="AO68" s="140">
        <f>92%*AO18</f>
        <v>52651.600000000006</v>
      </c>
      <c r="AP68" s="140">
        <f>92%*AP18</f>
        <v>52808</v>
      </c>
      <c r="AQ68" s="140">
        <f>92%*AQ18</f>
        <v>52900</v>
      </c>
      <c r="AR68" s="140">
        <f>93%*AR18</f>
        <v>53847</v>
      </c>
      <c r="AS68" s="140">
        <f>93%*AS18</f>
        <v>53940</v>
      </c>
      <c r="AT68" s="140">
        <f>92%*AT18</f>
        <v>52900</v>
      </c>
      <c r="AU68" s="140">
        <f>92%*AU18</f>
        <v>52900</v>
      </c>
      <c r="AV68" s="160"/>
      <c r="AW68" s="36"/>
    </row>
    <row r="69" spans="1:49" x14ac:dyDescent="0.25">
      <c r="D69" s="116"/>
      <c r="E69" s="116"/>
      <c r="F69" s="116"/>
      <c r="G69" s="116"/>
      <c r="H69" s="116"/>
      <c r="I69" s="116"/>
      <c r="J69" s="116"/>
      <c r="K69" s="116"/>
      <c r="L69" s="116"/>
      <c r="M69" s="116"/>
      <c r="N69" s="116"/>
      <c r="O69" s="116"/>
      <c r="P69" s="248">
        <f t="shared" ref="P69:AD69" si="103">P68/P18</f>
        <v>0.53964423529411765</v>
      </c>
      <c r="Q69" s="248">
        <f t="shared" si="103"/>
        <v>0.53965636363636371</v>
      </c>
      <c r="R69" s="248">
        <f t="shared" si="103"/>
        <v>0.64959555555555559</v>
      </c>
      <c r="S69" s="248">
        <f t="shared" si="103"/>
        <v>0.64963655913978502</v>
      </c>
      <c r="T69" s="248">
        <f t="shared" si="103"/>
        <v>0.67967416666666669</v>
      </c>
      <c r="U69" s="248">
        <f t="shared" si="103"/>
        <v>0.69968118811881175</v>
      </c>
      <c r="V69" s="248">
        <f t="shared" si="103"/>
        <v>0.71983542857142857</v>
      </c>
      <c r="W69" s="248">
        <f t="shared" si="103"/>
        <v>0.73012280373831773</v>
      </c>
      <c r="X69" s="248">
        <f t="shared" si="103"/>
        <v>0.76062752293577973</v>
      </c>
      <c r="Y69" s="248">
        <f t="shared" si="103"/>
        <v>0.79005973534971652</v>
      </c>
      <c r="Z69" s="248">
        <f t="shared" si="103"/>
        <v>0.79939146567718</v>
      </c>
      <c r="AA69" s="248">
        <f t="shared" si="103"/>
        <v>0.82013442622950816</v>
      </c>
      <c r="AB69" s="248">
        <f t="shared" si="103"/>
        <v>0.85936007259528124</v>
      </c>
      <c r="AC69" s="248">
        <f t="shared" si="103"/>
        <v>0.87936254416961124</v>
      </c>
      <c r="AD69" s="248">
        <f t="shared" si="103"/>
        <v>0.88</v>
      </c>
      <c r="AE69" s="248">
        <f>AE68/AE18</f>
        <v>0.88</v>
      </c>
      <c r="AF69" s="248">
        <f t="shared" ref="AF69:AJ69" si="104">AF68/AF18</f>
        <v>0.87999999999999989</v>
      </c>
      <c r="AG69" s="248">
        <f t="shared" si="104"/>
        <v>0.89</v>
      </c>
      <c r="AH69" s="248">
        <f t="shared" si="104"/>
        <v>0.9</v>
      </c>
      <c r="AI69" s="248">
        <f t="shared" si="104"/>
        <v>0.91</v>
      </c>
      <c r="AJ69" s="248">
        <f t="shared" si="104"/>
        <v>0.92</v>
      </c>
      <c r="AK69" s="248">
        <f t="shared" ref="AK69:AL69" si="105">AK68/AK18</f>
        <v>0.92</v>
      </c>
      <c r="AL69" s="248">
        <f t="shared" si="105"/>
        <v>0.92000000000000015</v>
      </c>
      <c r="AM69" s="248">
        <f t="shared" ref="AM69:AP69" si="106">AM68/AM18</f>
        <v>0.92</v>
      </c>
      <c r="AN69" s="248">
        <f t="shared" si="106"/>
        <v>0.93</v>
      </c>
      <c r="AO69" s="248">
        <f t="shared" si="106"/>
        <v>0.92000000000000015</v>
      </c>
      <c r="AP69" s="248">
        <f t="shared" si="106"/>
        <v>0.92</v>
      </c>
      <c r="AQ69" s="248">
        <f t="shared" ref="AQ69:AT69" si="107">AQ68/AQ18</f>
        <v>0.92</v>
      </c>
      <c r="AR69" s="248">
        <f t="shared" si="107"/>
        <v>0.93</v>
      </c>
      <c r="AS69" s="248">
        <f t="shared" si="107"/>
        <v>0.93</v>
      </c>
      <c r="AT69" s="248">
        <f t="shared" si="107"/>
        <v>0.92</v>
      </c>
      <c r="AU69" s="248">
        <f t="shared" ref="AU69" si="108">AU68/AU18</f>
        <v>0.92</v>
      </c>
      <c r="AV69" s="135"/>
    </row>
    <row r="70" spans="1:49" x14ac:dyDescent="0.25">
      <c r="D70" s="116"/>
      <c r="E70" s="116"/>
      <c r="F70" s="116"/>
      <c r="G70" s="116"/>
      <c r="H70" s="116"/>
      <c r="I70" s="116"/>
      <c r="J70" s="116"/>
      <c r="K70" s="116"/>
      <c r="L70" s="116"/>
      <c r="M70" s="116"/>
      <c r="N70" s="116"/>
      <c r="O70" s="116"/>
      <c r="P70" s="130"/>
      <c r="Q70" s="130"/>
      <c r="R70" s="130"/>
      <c r="S70" s="130"/>
      <c r="T70" s="130"/>
      <c r="U70" s="130"/>
      <c r="V70" s="130"/>
      <c r="W70" s="130"/>
      <c r="X70" s="130"/>
      <c r="Y70" s="130"/>
      <c r="Z70" s="130"/>
      <c r="AA70" s="130"/>
      <c r="AB70" s="130"/>
      <c r="AC70" s="130"/>
      <c r="AD70" s="130"/>
      <c r="AE70" s="130"/>
      <c r="AF70" s="130"/>
      <c r="AG70" s="130"/>
      <c r="AH70" s="130"/>
      <c r="AI70" s="130"/>
      <c r="AJ70" s="130"/>
      <c r="AK70" s="130"/>
      <c r="AL70" s="130"/>
      <c r="AM70" s="130"/>
      <c r="AN70" s="130"/>
      <c r="AO70" s="130"/>
      <c r="AP70" s="130"/>
      <c r="AQ70" s="130"/>
      <c r="AR70" s="130"/>
      <c r="AS70" s="130"/>
      <c r="AT70" s="130"/>
      <c r="AU70" s="130"/>
    </row>
    <row r="71" spans="1:49" x14ac:dyDescent="0.25">
      <c r="A71" s="43" t="s">
        <v>194</v>
      </c>
      <c r="D71" s="116"/>
      <c r="E71" s="116"/>
      <c r="F71" s="116"/>
      <c r="G71" s="116"/>
      <c r="H71" s="116"/>
      <c r="I71" s="116"/>
      <c r="J71" s="116"/>
      <c r="K71" s="116"/>
      <c r="L71" s="116"/>
      <c r="M71" s="116"/>
      <c r="N71" s="116"/>
      <c r="O71" s="116"/>
      <c r="P71" s="170">
        <v>0.48</v>
      </c>
      <c r="Q71" s="170">
        <v>0.53</v>
      </c>
      <c r="R71" s="170">
        <v>0.6</v>
      </c>
      <c r="S71" s="170">
        <v>0.63</v>
      </c>
      <c r="T71" s="170">
        <v>0.65</v>
      </c>
      <c r="U71" s="170">
        <v>0.67</v>
      </c>
      <c r="V71" s="170">
        <v>0.7</v>
      </c>
      <c r="W71" s="170">
        <v>0.72</v>
      </c>
      <c r="X71" s="170">
        <v>0.74</v>
      </c>
      <c r="Y71" s="170">
        <v>0.77</v>
      </c>
      <c r="Z71" s="170">
        <v>0.78</v>
      </c>
      <c r="AA71" s="170">
        <v>0.8</v>
      </c>
      <c r="AB71" s="170">
        <v>0.84</v>
      </c>
      <c r="AC71" s="170">
        <v>0.86</v>
      </c>
      <c r="AD71" s="170">
        <v>0.86</v>
      </c>
      <c r="AE71" s="170">
        <v>0.86</v>
      </c>
      <c r="AF71" s="170">
        <v>0.86</v>
      </c>
      <c r="AG71" s="170">
        <v>0.87</v>
      </c>
      <c r="AH71" s="170">
        <v>0.88</v>
      </c>
      <c r="AI71" s="170">
        <v>0.89</v>
      </c>
      <c r="AJ71" s="170">
        <v>0.9</v>
      </c>
      <c r="AK71" s="170">
        <v>0.91</v>
      </c>
      <c r="AL71" s="170">
        <v>0.91</v>
      </c>
      <c r="AM71" s="170">
        <v>0.92</v>
      </c>
      <c r="AN71" s="170">
        <v>0.93</v>
      </c>
      <c r="AO71" s="170"/>
      <c r="AP71" s="170"/>
      <c r="AQ71" s="170"/>
      <c r="AR71" s="170"/>
      <c r="AS71" s="170"/>
      <c r="AT71" s="170"/>
      <c r="AU71" s="170"/>
    </row>
    <row r="72" spans="1:49" x14ac:dyDescent="0.25">
      <c r="A72" s="43" t="s">
        <v>375</v>
      </c>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70">
        <v>0.85299999999999998</v>
      </c>
      <c r="AL72" s="170"/>
      <c r="AM72" s="170"/>
      <c r="AN72" s="170">
        <v>0.89800000000000002</v>
      </c>
      <c r="AO72" s="170">
        <v>0.90900000000000003</v>
      </c>
      <c r="AP72" s="170"/>
      <c r="AQ72" s="170"/>
      <c r="AR72" s="170"/>
      <c r="AS72" s="170"/>
      <c r="AT72" s="170"/>
      <c r="AU72" s="170"/>
    </row>
    <row r="73" spans="1:49" x14ac:dyDescent="0.25">
      <c r="A73" s="43" t="s">
        <v>195</v>
      </c>
      <c r="D73" s="116"/>
      <c r="E73" s="116"/>
      <c r="F73" s="116"/>
      <c r="G73" s="116"/>
      <c r="H73" s="116"/>
      <c r="I73" s="116"/>
      <c r="J73" s="116"/>
      <c r="K73" s="116"/>
      <c r="L73" s="116"/>
      <c r="M73" s="116"/>
      <c r="N73" s="116"/>
      <c r="O73" s="116"/>
      <c r="P73" s="169">
        <v>85.2</v>
      </c>
      <c r="Q73" s="169">
        <v>112.1</v>
      </c>
      <c r="R73" s="169">
        <v>137.6</v>
      </c>
      <c r="S73" s="169">
        <v>180.4</v>
      </c>
      <c r="T73" s="169">
        <v>236.7</v>
      </c>
      <c r="U73" s="169">
        <v>306.89999999999998</v>
      </c>
      <c r="V73" s="169">
        <v>338.8</v>
      </c>
      <c r="W73" s="169">
        <v>397</v>
      </c>
      <c r="X73" s="169">
        <v>427.5</v>
      </c>
      <c r="Y73" s="169">
        <v>530.20000000000005</v>
      </c>
      <c r="Z73" s="169">
        <v>611.08999999999992</v>
      </c>
      <c r="AA73" s="169">
        <v>684.77</v>
      </c>
      <c r="AB73" s="169">
        <v>727.44</v>
      </c>
      <c r="AC73" s="169">
        <v>840.51</v>
      </c>
      <c r="AD73" s="169">
        <v>875.41</v>
      </c>
      <c r="AE73" s="169">
        <v>956.71</v>
      </c>
      <c r="AF73" s="169">
        <v>997</v>
      </c>
      <c r="AG73" s="169">
        <v>1221</v>
      </c>
      <c r="AH73" s="169">
        <v>1305.5899999999999</v>
      </c>
      <c r="AI73" s="169">
        <v>1376</v>
      </c>
      <c r="AJ73" s="169">
        <v>1391</v>
      </c>
      <c r="AK73" s="169">
        <v>1572</v>
      </c>
      <c r="AL73" s="169">
        <v>1722</v>
      </c>
      <c r="AM73" s="169">
        <v>1865</v>
      </c>
      <c r="AN73" s="169">
        <v>1857</v>
      </c>
      <c r="AO73" s="169"/>
      <c r="AP73" s="169"/>
      <c r="AQ73" s="169"/>
      <c r="AR73" s="169"/>
      <c r="AS73" s="169"/>
      <c r="AT73" s="169"/>
      <c r="AU73" s="169"/>
    </row>
    <row r="74" spans="1:49" x14ac:dyDescent="0.25">
      <c r="P74" s="171"/>
      <c r="Q74" s="171"/>
      <c r="R74" s="171"/>
      <c r="S74" s="171"/>
      <c r="T74" s="171"/>
      <c r="U74" s="171"/>
      <c r="V74" s="171"/>
      <c r="W74" s="171"/>
      <c r="X74" s="171"/>
      <c r="Y74" s="171"/>
      <c r="Z74" s="171"/>
      <c r="AA74" s="171"/>
      <c r="AB74" s="171"/>
      <c r="AC74" s="171"/>
      <c r="AD74" s="171"/>
      <c r="AE74" s="171"/>
      <c r="AF74" s="171"/>
      <c r="AG74" s="171"/>
      <c r="AH74" s="171"/>
      <c r="AI74" s="171"/>
      <c r="AJ74" s="171"/>
      <c r="AK74" s="171"/>
      <c r="AL74" s="171"/>
      <c r="AM74" s="171"/>
      <c r="AN74" s="171"/>
      <c r="AO74" s="171"/>
      <c r="AP74" s="171"/>
      <c r="AQ74" s="171"/>
      <c r="AR74" s="171"/>
      <c r="AS74" s="171"/>
      <c r="AT74" s="171"/>
      <c r="AU74" s="171"/>
    </row>
  </sheetData>
  <phoneticPr fontId="15" type="noConversion"/>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A0A34-C5EF-4F46-B104-77BC94517E1E}">
  <dimension ref="A1:AX10"/>
  <sheetViews>
    <sheetView showGridLines="0" zoomScale="70" zoomScaleNormal="70" workbookViewId="0">
      <pane xSplit="1" ySplit="2" topLeftCell="AI3" activePane="bottomRight" state="frozen"/>
      <selection activeCell="AU7" sqref="AU7 AU9 AU11 AU21:AU23 AU25 AU42 AU60 AU141 AU144:AU146"/>
      <selection pane="topRight" activeCell="AU7" sqref="AU7 AU9 AU11 AU21:AU23 AU25 AU42 AU60 AU141 AU144:AU146"/>
      <selection pane="bottomLeft" activeCell="AU7" sqref="AU7 AU9 AU11 AU21:AU23 AU25 AU42 AU60 AU141 AU144:AU146"/>
      <selection pane="bottomRight" activeCell="AS10" sqref="AS10"/>
    </sheetView>
  </sheetViews>
  <sheetFormatPr defaultColWidth="9.21875" defaultRowHeight="14.4" outlineLevelCol="1" x14ac:dyDescent="0.3"/>
  <cols>
    <col min="1" max="1" width="56.6640625" style="379" bestFit="1" customWidth="1"/>
    <col min="2" max="2" width="5.5546875" style="379" customWidth="1" outlineLevel="1"/>
    <col min="3" max="3" width="5.6640625" style="379" customWidth="1" outlineLevel="1"/>
    <col min="4" max="23" width="11.77734375" style="379" customWidth="1" outlineLevel="1"/>
    <col min="24" max="30" width="11.77734375" style="379" bestFit="1" customWidth="1"/>
    <col min="31" max="47" width="11.77734375" style="379" customWidth="1"/>
    <col min="48" max="48" width="4.33203125" style="379" customWidth="1"/>
    <col min="49" max="49" width="30.6640625" style="379" customWidth="1"/>
    <col min="50" max="16384" width="9.21875" style="379"/>
  </cols>
  <sheetData>
    <row r="1" spans="1:50" s="36" customFormat="1" ht="13.2" x14ac:dyDescent="0.25">
      <c r="A1" s="33" t="s">
        <v>63</v>
      </c>
      <c r="B1" s="33"/>
      <c r="C1" s="33"/>
      <c r="D1" s="34" t="str">
        <f>'Reported Group Highlights'!D1</f>
        <v>1Q13</v>
      </c>
      <c r="E1" s="34" t="str">
        <f>'Reported Group Highlights'!E1</f>
        <v>2Q13</v>
      </c>
      <c r="F1" s="34" t="str">
        <f>'Reported Group Highlights'!F1</f>
        <v>3Q13</v>
      </c>
      <c r="G1" s="34" t="str">
        <f>'Reported Group Highlights'!G1</f>
        <v>4Q13</v>
      </c>
      <c r="H1" s="34" t="str">
        <f>'Reported Group Highlights'!H1</f>
        <v>1Q14</v>
      </c>
      <c r="I1" s="34" t="str">
        <f>'Reported Group Highlights'!I1</f>
        <v>2Q14</v>
      </c>
      <c r="J1" s="34" t="str">
        <f>'Reported Group Highlights'!J1</f>
        <v>3Q14</v>
      </c>
      <c r="K1" s="34" t="str">
        <f>'Reported Group Highlights'!K1</f>
        <v>4Q14</v>
      </c>
      <c r="L1" s="34" t="str">
        <f>'Reported Group Highlights'!L1</f>
        <v>1Q15</v>
      </c>
      <c r="M1" s="34" t="str">
        <f>'Reported Group Highlights'!M1</f>
        <v>2Q15</v>
      </c>
      <c r="N1" s="34" t="str">
        <f>'Reported Group Highlights'!N1</f>
        <v>3Q15</v>
      </c>
      <c r="O1" s="34" t="str">
        <f>'Reported Group Highlights'!O1</f>
        <v>4Q15</v>
      </c>
      <c r="P1" s="34" t="str">
        <f>'Reported Group Highlights'!P1</f>
        <v>1Q16</v>
      </c>
      <c r="Q1" s="34" t="str">
        <f>'Reported Group Highlights'!Q1</f>
        <v>2Q16</v>
      </c>
      <c r="R1" s="34" t="str">
        <f>'Reported Group Highlights'!R1</f>
        <v>3Q16</v>
      </c>
      <c r="S1" s="34" t="str">
        <f>'Reported Group Highlights'!S1</f>
        <v>4Q16</v>
      </c>
      <c r="T1" s="34" t="str">
        <f>'Reported Group Highlights'!T1</f>
        <v>1Q17</v>
      </c>
      <c r="U1" s="34" t="str">
        <f>'Reported Group Highlights'!U1</f>
        <v>2Q17</v>
      </c>
      <c r="V1" s="34" t="str">
        <f>'Reported Group Highlights'!V1</f>
        <v>3Q17</v>
      </c>
      <c r="W1" s="34" t="str">
        <f>'Reported Group Highlights'!W1</f>
        <v>4Q17</v>
      </c>
      <c r="X1" s="34" t="str">
        <f>'Reported Group Highlights'!X1</f>
        <v>1Q18</v>
      </c>
      <c r="Y1" s="34" t="str">
        <f>'Reported Group Highlights'!Y1</f>
        <v>2Q18</v>
      </c>
      <c r="Z1" s="34" t="str">
        <f>'Reported Group Highlights'!Z1</f>
        <v>3Q18</v>
      </c>
      <c r="AA1" s="34" t="str">
        <f>'Reported Group Highlights'!AA1</f>
        <v>4Q18</v>
      </c>
      <c r="AB1" s="34" t="str">
        <f>'Reported Group Highlights'!AB1</f>
        <v>1Q19</v>
      </c>
      <c r="AC1" s="34" t="str">
        <f>'Reported Group Highlights'!AC1</f>
        <v>2Q19</v>
      </c>
      <c r="AD1" s="34" t="str">
        <f>'Reported Group Highlights'!AD1</f>
        <v>3Q19</v>
      </c>
      <c r="AE1" s="34" t="str">
        <f>'Reported Group Highlights'!AE1</f>
        <v>4Q19</v>
      </c>
      <c r="AF1" s="34" t="str">
        <f>'Reported Group Highlights'!AF1</f>
        <v>1Q20</v>
      </c>
      <c r="AG1" s="34" t="str">
        <f>'Reported Group Highlights'!AG1</f>
        <v>2Q20</v>
      </c>
      <c r="AH1" s="34" t="str">
        <f>'Reported Group Highlights'!AH1</f>
        <v>3Q20</v>
      </c>
      <c r="AI1" s="34" t="str">
        <f>'Reported Group Highlights'!AI1</f>
        <v>4Q20</v>
      </c>
      <c r="AJ1" s="34" t="str">
        <f>'Reported Group Highlights'!AJ1</f>
        <v>1Q21</v>
      </c>
      <c r="AK1" s="34" t="str">
        <f>'Reported Group Highlights'!AK1</f>
        <v>2Q21</v>
      </c>
      <c r="AL1" s="34" t="str">
        <f>'Reported Group Highlights'!AL1</f>
        <v>3Q21</v>
      </c>
      <c r="AM1" s="34" t="str">
        <f>'Reported Group Highlights'!AM1</f>
        <v>4Q21</v>
      </c>
      <c r="AN1" s="34" t="str">
        <f>'Reported Group Highlights'!AN1</f>
        <v>1Q22</v>
      </c>
      <c r="AO1" s="34" t="str">
        <f>'Reported Group Highlights'!AO1</f>
        <v>2Q22</v>
      </c>
      <c r="AP1" s="34" t="str">
        <f>'Reported Group Highlights'!AP1</f>
        <v>3Q22</v>
      </c>
      <c r="AQ1" s="34" t="str">
        <f>'Reported Group Highlights'!AQ1</f>
        <v>4Q22</v>
      </c>
      <c r="AR1" s="34" t="str">
        <f>'Reported Group Highlights'!AR1</f>
        <v>1Q23</v>
      </c>
      <c r="AS1" s="34" t="str">
        <f>'Reported Group Highlights'!AS1</f>
        <v>2Q23</v>
      </c>
      <c r="AT1" s="34" t="str">
        <f>'Reported Group Highlights'!AT1</f>
        <v>3Q23</v>
      </c>
      <c r="AU1" s="34" t="str">
        <f>'Reported Group Highlights'!AU1</f>
        <v>4Q23</v>
      </c>
      <c r="AV1" s="33"/>
      <c r="AW1" s="33" t="s">
        <v>11</v>
      </c>
    </row>
    <row r="2" spans="1:50" s="36" customFormat="1" ht="13.2" x14ac:dyDescent="0.25">
      <c r="A2" s="33" t="s">
        <v>409</v>
      </c>
      <c r="B2" s="33"/>
      <c r="C2" s="33"/>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3"/>
      <c r="AW2" s="33"/>
    </row>
    <row r="3" spans="1:50" s="43" customFormat="1" ht="13.2" x14ac:dyDescent="0.25">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c r="AU3" s="116"/>
    </row>
    <row r="4" spans="1:50" s="43" customFormat="1" ht="13.2" x14ac:dyDescent="0.25">
      <c r="A4" s="380" t="s">
        <v>410</v>
      </c>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N4" s="132">
        <v>99</v>
      </c>
      <c r="AO4" s="132">
        <v>102</v>
      </c>
      <c r="AP4" s="132">
        <v>112</v>
      </c>
      <c r="AQ4" s="132">
        <v>123</v>
      </c>
      <c r="AR4" s="132">
        <v>132</v>
      </c>
      <c r="AS4" s="132">
        <v>154</v>
      </c>
      <c r="AT4" s="132">
        <v>206</v>
      </c>
      <c r="AU4" s="132">
        <v>235</v>
      </c>
      <c r="AW4" s="43" t="s">
        <v>429</v>
      </c>
    </row>
    <row r="5" spans="1:50" s="43" customFormat="1" ht="13.2" x14ac:dyDescent="0.25">
      <c r="A5" s="381" t="s">
        <v>411</v>
      </c>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f>AO4-AN4</f>
        <v>3</v>
      </c>
      <c r="AP5" s="116">
        <f t="shared" ref="AP5:AU5" si="0">AP4-AO4</f>
        <v>10</v>
      </c>
      <c r="AQ5" s="116">
        <f t="shared" si="0"/>
        <v>11</v>
      </c>
      <c r="AR5" s="116">
        <f t="shared" si="0"/>
        <v>9</v>
      </c>
      <c r="AS5" s="116">
        <f t="shared" si="0"/>
        <v>22</v>
      </c>
      <c r="AT5" s="116">
        <f t="shared" si="0"/>
        <v>52</v>
      </c>
      <c r="AU5" s="116">
        <f t="shared" si="0"/>
        <v>29</v>
      </c>
    </row>
    <row r="6" spans="1:50" s="43" customFormat="1" ht="13.2" x14ac:dyDescent="0.25">
      <c r="A6" s="381"/>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row>
    <row r="7" spans="1:50" s="134" customFormat="1" ht="13.2" x14ac:dyDescent="0.25">
      <c r="A7" s="381" t="s">
        <v>412</v>
      </c>
      <c r="C7" s="150"/>
      <c r="D7" s="382"/>
      <c r="E7" s="382"/>
      <c r="F7" s="382"/>
      <c r="G7" s="382"/>
      <c r="H7" s="382"/>
      <c r="I7" s="382"/>
      <c r="J7" s="382"/>
      <c r="K7" s="382"/>
      <c r="L7" s="382"/>
      <c r="M7" s="382"/>
      <c r="N7" s="382"/>
      <c r="O7" s="382"/>
      <c r="P7" s="382"/>
      <c r="Q7" s="382"/>
      <c r="R7" s="382"/>
      <c r="S7" s="383"/>
      <c r="T7" s="383"/>
      <c r="U7" s="244"/>
      <c r="V7" s="244"/>
      <c r="W7" s="244"/>
      <c r="X7" s="383"/>
      <c r="Y7" s="244"/>
      <c r="Z7" s="244"/>
      <c r="AA7" s="383"/>
      <c r="AB7" s="383"/>
      <c r="AC7" s="244"/>
      <c r="AD7" s="244"/>
      <c r="AE7" s="383"/>
      <c r="AF7" s="383"/>
      <c r="AG7" s="383"/>
      <c r="AH7" s="383"/>
      <c r="AI7" s="383"/>
      <c r="AJ7" s="383"/>
      <c r="AK7" s="383"/>
      <c r="AL7" s="383"/>
      <c r="AM7" s="383"/>
      <c r="AN7" s="386">
        <v>0.19</v>
      </c>
      <c r="AO7" s="386">
        <v>0.28000000000000003</v>
      </c>
      <c r="AP7" s="386">
        <v>0.32</v>
      </c>
      <c r="AQ7" s="386">
        <v>0.37</v>
      </c>
      <c r="AR7" s="386">
        <v>0.44</v>
      </c>
      <c r="AS7" s="386">
        <v>0.56000000000000005</v>
      </c>
      <c r="AT7" s="386">
        <v>0.69</v>
      </c>
      <c r="AU7" s="386">
        <v>0.75</v>
      </c>
      <c r="AV7" s="384"/>
      <c r="AW7" s="384"/>
      <c r="AX7" s="150"/>
    </row>
    <row r="8" spans="1:50" s="134" customFormat="1" ht="13.2" x14ac:dyDescent="0.25">
      <c r="A8" s="381" t="s">
        <v>413</v>
      </c>
      <c r="C8" s="150"/>
      <c r="D8" s="382"/>
      <c r="E8" s="382"/>
      <c r="F8" s="382"/>
      <c r="G8" s="382"/>
      <c r="H8" s="382"/>
      <c r="I8" s="382"/>
      <c r="J8" s="382"/>
      <c r="K8" s="382"/>
      <c r="L8" s="382"/>
      <c r="M8" s="382"/>
      <c r="N8" s="382"/>
      <c r="O8" s="382"/>
      <c r="P8" s="382"/>
      <c r="Q8" s="382"/>
      <c r="R8" s="382"/>
      <c r="S8" s="383"/>
      <c r="T8" s="383"/>
      <c r="U8" s="244"/>
      <c r="V8" s="244"/>
      <c r="W8" s="244"/>
      <c r="X8" s="383"/>
      <c r="Y8" s="244"/>
      <c r="Z8" s="244"/>
      <c r="AA8" s="383"/>
      <c r="AB8" s="383"/>
      <c r="AC8" s="244"/>
      <c r="AD8" s="244"/>
      <c r="AE8" s="383"/>
      <c r="AF8" s="383"/>
      <c r="AG8" s="383"/>
      <c r="AH8" s="383"/>
      <c r="AI8" s="383"/>
      <c r="AJ8" s="383"/>
      <c r="AK8" s="383"/>
      <c r="AL8" s="383"/>
      <c r="AM8" s="383"/>
      <c r="AN8" s="383"/>
      <c r="AO8" s="383"/>
      <c r="AP8" s="383"/>
      <c r="AQ8" s="383"/>
      <c r="AR8" s="383"/>
      <c r="AS8" s="383"/>
      <c r="AT8" s="383"/>
      <c r="AU8" s="383"/>
      <c r="AV8" s="384"/>
      <c r="AW8" s="384"/>
      <c r="AX8" s="150"/>
    </row>
    <row r="9" spans="1:50" s="134" customFormat="1" ht="13.2" x14ac:dyDescent="0.25">
      <c r="A9" s="381"/>
      <c r="C9" s="150"/>
      <c r="D9" s="382"/>
      <c r="E9" s="382"/>
      <c r="F9" s="382"/>
      <c r="G9" s="382"/>
      <c r="H9" s="382"/>
      <c r="I9" s="382"/>
      <c r="J9" s="382"/>
      <c r="K9" s="382"/>
      <c r="L9" s="382"/>
      <c r="M9" s="382"/>
      <c r="N9" s="382"/>
      <c r="O9" s="382"/>
      <c r="P9" s="382"/>
      <c r="Q9" s="382"/>
      <c r="R9" s="382"/>
      <c r="S9" s="383"/>
      <c r="T9" s="383"/>
      <c r="U9" s="244"/>
      <c r="V9" s="244"/>
      <c r="W9" s="244"/>
      <c r="X9" s="383"/>
      <c r="Y9" s="244"/>
      <c r="Z9" s="244"/>
      <c r="AA9" s="383"/>
      <c r="AB9" s="383"/>
      <c r="AC9" s="244"/>
      <c r="AD9" s="244"/>
      <c r="AE9" s="383"/>
      <c r="AF9" s="383"/>
      <c r="AG9" s="383"/>
      <c r="AH9" s="383"/>
      <c r="AI9" s="383"/>
      <c r="AJ9" s="383"/>
      <c r="AK9" s="383"/>
      <c r="AL9" s="383"/>
      <c r="AM9" s="383"/>
      <c r="AN9" s="383"/>
      <c r="AO9" s="383"/>
      <c r="AP9" s="383"/>
      <c r="AQ9" s="383"/>
      <c r="AR9" s="383"/>
      <c r="AS9" s="383"/>
      <c r="AT9" s="383"/>
      <c r="AU9" s="383"/>
      <c r="AV9" s="384"/>
      <c r="AW9" s="384"/>
      <c r="AX9" s="150"/>
    </row>
    <row r="10" spans="1:50" s="43" customFormat="1" ht="13.2" x14ac:dyDescent="0.25">
      <c r="A10" s="380" t="s">
        <v>414</v>
      </c>
      <c r="C10" s="136"/>
      <c r="D10" s="139"/>
      <c r="E10" s="139"/>
      <c r="F10" s="139"/>
      <c r="G10" s="139"/>
      <c r="H10" s="139"/>
      <c r="I10" s="139"/>
      <c r="J10" s="139"/>
      <c r="K10" s="139"/>
      <c r="L10" s="139"/>
      <c r="M10" s="139"/>
      <c r="N10" s="139"/>
      <c r="O10" s="139"/>
      <c r="P10" s="139"/>
      <c r="Q10" s="139"/>
      <c r="R10" s="139"/>
      <c r="S10" s="140"/>
      <c r="T10" s="140"/>
      <c r="U10" s="140"/>
      <c r="V10" s="140"/>
      <c r="W10" s="140"/>
      <c r="X10" s="140"/>
      <c r="Y10" s="140"/>
      <c r="Z10" s="140"/>
      <c r="AA10" s="141"/>
      <c r="AB10" s="141"/>
      <c r="AC10" s="141"/>
      <c r="AD10" s="141"/>
      <c r="AE10" s="141"/>
      <c r="AF10" s="141"/>
      <c r="AG10" s="141"/>
      <c r="AH10" s="141"/>
      <c r="AI10" s="141"/>
      <c r="AJ10" s="141"/>
      <c r="AK10" s="141"/>
      <c r="AL10" s="141"/>
      <c r="AM10" s="141"/>
      <c r="AN10" s="385">
        <f>AN7*AN4</f>
        <v>18.809999999999999</v>
      </c>
      <c r="AO10" s="385">
        <f t="shared" ref="AO10:AS10" si="1">AO7*AO4</f>
        <v>28.560000000000002</v>
      </c>
      <c r="AP10" s="385">
        <f t="shared" si="1"/>
        <v>35.840000000000003</v>
      </c>
      <c r="AQ10" s="385">
        <f t="shared" si="1"/>
        <v>45.51</v>
      </c>
      <c r="AR10" s="385">
        <f t="shared" si="1"/>
        <v>58.08</v>
      </c>
      <c r="AS10" s="385">
        <f t="shared" si="1"/>
        <v>86.240000000000009</v>
      </c>
      <c r="AT10" s="385">
        <f t="shared" ref="AT10:AU10" si="2">AT7*AT4</f>
        <v>142.13999999999999</v>
      </c>
      <c r="AU10" s="385">
        <f t="shared" si="2"/>
        <v>176.25</v>
      </c>
      <c r="AV10" s="142"/>
      <c r="AW10" s="97" t="s">
        <v>430</v>
      </c>
      <c r="AX10" s="97"/>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WZC565"/>
  <sheetViews>
    <sheetView view="pageBreakPreview" zoomScale="60" zoomScaleNormal="40" workbookViewId="0">
      <selection activeCell="L6" sqref="L6"/>
    </sheetView>
  </sheetViews>
  <sheetFormatPr defaultRowHeight="16.2" x14ac:dyDescent="0.35"/>
  <cols>
    <col min="1" max="1" width="8.6640625" style="2" customWidth="1"/>
    <col min="2" max="5" width="9.21875" style="2" customWidth="1"/>
    <col min="6" max="6" width="11.33203125" style="2" customWidth="1"/>
    <col min="7" max="17" width="9.21875" style="2" customWidth="1"/>
    <col min="18" max="18" width="13.6640625" style="2" customWidth="1"/>
    <col min="19" max="19" width="11.77734375" style="2" customWidth="1"/>
    <col min="20" max="23" width="9.21875" style="2" customWidth="1"/>
    <col min="24" max="24" width="9.21875" style="3" customWidth="1"/>
    <col min="25" max="25" width="133.109375" style="3" customWidth="1"/>
    <col min="26" max="26" width="179.6640625" style="3" customWidth="1"/>
    <col min="27" max="27" width="11.77734375" style="3" customWidth="1"/>
    <col min="28" max="28" width="13.21875" style="3" bestFit="1" customWidth="1"/>
    <col min="29" max="29" width="13.77734375" style="3" bestFit="1" customWidth="1"/>
    <col min="30" max="30" width="13.6640625" style="3" bestFit="1" customWidth="1"/>
    <col min="31" max="31" width="13.77734375" style="3" bestFit="1" customWidth="1"/>
    <col min="32" max="32" width="12.77734375" style="3" bestFit="1" customWidth="1"/>
    <col min="33" max="33" width="13" style="3" bestFit="1" customWidth="1"/>
    <col min="34" max="34" width="13.77734375" style="3" bestFit="1" customWidth="1"/>
    <col min="35" max="35" width="13" style="3" bestFit="1" customWidth="1"/>
    <col min="36" max="36" width="13.21875" style="3" bestFit="1" customWidth="1"/>
    <col min="37" max="37" width="13" style="3" bestFit="1" customWidth="1"/>
    <col min="38" max="38" width="12.77734375" style="3" bestFit="1" customWidth="1"/>
    <col min="39" max="39" width="13.21875" style="3" bestFit="1" customWidth="1"/>
    <col min="40" max="40" width="13" style="3" bestFit="1" customWidth="1"/>
    <col min="41" max="41" width="13.77734375" style="3" bestFit="1" customWidth="1"/>
    <col min="42" max="45" width="13.21875" style="3" bestFit="1" customWidth="1"/>
    <col min="46" max="46" width="13.6640625" style="3" bestFit="1" customWidth="1"/>
    <col min="47" max="47" width="13.77734375" style="3" bestFit="1" customWidth="1"/>
    <col min="48" max="16227" width="9.21875" style="3"/>
    <col min="16228" max="16384" width="9.21875" style="2"/>
  </cols>
  <sheetData>
    <row r="1" spans="1:47" x14ac:dyDescent="0.35">
      <c r="A1" s="1" t="s">
        <v>24</v>
      </c>
      <c r="B1" s="1" t="s">
        <v>25</v>
      </c>
      <c r="C1" s="1"/>
      <c r="D1" s="1"/>
      <c r="E1" s="7"/>
      <c r="F1" s="1" t="s">
        <v>316</v>
      </c>
      <c r="G1" s="1"/>
      <c r="H1" s="1"/>
      <c r="I1" s="7"/>
      <c r="J1" s="7"/>
      <c r="K1" s="7"/>
      <c r="L1" s="7"/>
      <c r="M1" s="7"/>
      <c r="N1" s="7"/>
      <c r="O1" s="7"/>
      <c r="P1" s="7"/>
      <c r="Q1" s="7"/>
      <c r="R1" s="7"/>
      <c r="S1" s="7"/>
      <c r="T1" s="7"/>
      <c r="U1" s="3"/>
      <c r="V1" s="3"/>
      <c r="W1" s="3"/>
    </row>
    <row r="2" spans="1:47" x14ac:dyDescent="0.35">
      <c r="A2" s="4" t="s">
        <v>26</v>
      </c>
      <c r="B2" s="3" t="s">
        <v>147</v>
      </c>
      <c r="C2" s="3"/>
      <c r="D2" s="3"/>
      <c r="E2" s="3"/>
      <c r="F2" s="3"/>
      <c r="G2" s="3"/>
      <c r="H2" s="3"/>
      <c r="I2" s="3"/>
      <c r="J2" s="3"/>
      <c r="K2" s="3"/>
      <c r="L2" s="3"/>
      <c r="M2" s="3"/>
      <c r="N2" s="3"/>
      <c r="O2" s="3"/>
      <c r="P2" s="3"/>
      <c r="Q2" s="3"/>
      <c r="R2" s="3"/>
      <c r="S2" s="3"/>
      <c r="T2" s="3"/>
      <c r="U2" s="3"/>
      <c r="V2" s="3"/>
      <c r="W2" s="3"/>
    </row>
    <row r="3" spans="1:47" x14ac:dyDescent="0.35">
      <c r="A3" s="6" t="s">
        <v>27</v>
      </c>
      <c r="B3" s="3" t="s">
        <v>134</v>
      </c>
      <c r="C3" s="3"/>
      <c r="D3" s="3"/>
      <c r="E3" s="3"/>
      <c r="F3" s="17" t="s">
        <v>317</v>
      </c>
      <c r="G3" s="18" t="s">
        <v>247</v>
      </c>
      <c r="H3" s="3"/>
      <c r="I3" s="3"/>
      <c r="J3" s="3"/>
      <c r="K3" s="3"/>
      <c r="L3" s="3"/>
      <c r="M3" s="3"/>
      <c r="N3" s="3"/>
      <c r="O3" s="3"/>
      <c r="P3" s="3"/>
      <c r="Q3" s="3"/>
      <c r="R3" s="3"/>
      <c r="S3" s="3"/>
      <c r="T3" s="3"/>
      <c r="U3" s="3"/>
      <c r="V3" s="3"/>
      <c r="W3" s="3"/>
    </row>
    <row r="4" spans="1:47" x14ac:dyDescent="0.35">
      <c r="A4" s="6" t="s">
        <v>28</v>
      </c>
      <c r="B4" s="5" t="s">
        <v>148</v>
      </c>
      <c r="C4" s="3"/>
      <c r="D4" s="3"/>
      <c r="E4" s="3"/>
      <c r="F4" s="3"/>
      <c r="G4" s="3"/>
      <c r="H4" s="3"/>
      <c r="I4" s="3"/>
      <c r="J4" s="3"/>
      <c r="K4" s="3"/>
      <c r="L4" s="3"/>
      <c r="M4" s="3"/>
      <c r="N4" s="3"/>
      <c r="O4" s="3"/>
      <c r="P4" s="3"/>
      <c r="Q4" s="3"/>
      <c r="R4" s="3"/>
      <c r="S4" s="3"/>
      <c r="T4" s="3"/>
      <c r="U4" s="3"/>
      <c r="V4" s="3"/>
      <c r="W4" s="3"/>
    </row>
    <row r="5" spans="1:47" x14ac:dyDescent="0.35">
      <c r="A5" s="4"/>
      <c r="B5" s="3"/>
      <c r="C5" s="3"/>
      <c r="D5" s="3"/>
      <c r="E5" s="3"/>
      <c r="F5" s="3"/>
      <c r="G5" s="3"/>
      <c r="H5" s="3"/>
      <c r="I5" s="3"/>
      <c r="J5" s="3"/>
      <c r="K5" s="3"/>
      <c r="L5" s="3"/>
      <c r="M5" s="3"/>
      <c r="N5" s="3"/>
      <c r="O5" s="3"/>
      <c r="P5" s="3"/>
      <c r="Q5" s="3"/>
      <c r="R5" s="3"/>
      <c r="S5" s="3"/>
      <c r="T5" s="3"/>
      <c r="U5" s="3"/>
      <c r="V5" s="3"/>
      <c r="W5" s="3"/>
    </row>
    <row r="6" spans="1:47" x14ac:dyDescent="0.35">
      <c r="A6" s="4"/>
      <c r="B6" s="3"/>
      <c r="C6" s="3"/>
      <c r="D6" s="3"/>
      <c r="E6" s="3"/>
      <c r="F6" s="3"/>
      <c r="G6" s="3"/>
      <c r="H6" s="3"/>
      <c r="I6" s="3"/>
      <c r="J6" s="3"/>
      <c r="K6" s="3"/>
      <c r="L6" s="3"/>
      <c r="M6" s="3"/>
      <c r="N6" s="3"/>
      <c r="O6" s="3"/>
      <c r="P6" s="3"/>
      <c r="Q6" s="3"/>
      <c r="R6" s="3"/>
      <c r="S6" s="3"/>
      <c r="T6" s="3"/>
      <c r="U6" s="3"/>
      <c r="V6" s="3"/>
      <c r="W6" s="3"/>
    </row>
    <row r="7" spans="1:47" x14ac:dyDescent="0.35">
      <c r="A7" s="3"/>
      <c r="B7" s="3"/>
      <c r="C7" s="3"/>
      <c r="D7" s="3"/>
      <c r="E7" s="3"/>
      <c r="F7" s="3"/>
      <c r="G7" s="3"/>
      <c r="H7" s="3"/>
      <c r="I7" s="3"/>
      <c r="J7" s="3"/>
      <c r="K7" s="3"/>
      <c r="L7" s="3"/>
      <c r="M7" s="3"/>
      <c r="N7" s="3"/>
      <c r="O7" s="3"/>
      <c r="P7" s="3"/>
      <c r="Q7" s="3"/>
      <c r="R7" s="3"/>
      <c r="S7" s="3"/>
      <c r="T7" s="3"/>
      <c r="U7" s="3"/>
      <c r="V7" s="3"/>
      <c r="W7" s="3"/>
    </row>
    <row r="8" spans="1:47" x14ac:dyDescent="0.35">
      <c r="A8" s="3"/>
      <c r="B8" s="3"/>
      <c r="C8" s="3"/>
      <c r="D8" s="3"/>
      <c r="E8" s="3"/>
      <c r="F8" s="3"/>
      <c r="G8" s="3"/>
      <c r="H8" s="3"/>
      <c r="I8" s="3"/>
      <c r="J8" s="3"/>
      <c r="K8" s="3"/>
      <c r="L8" s="3"/>
      <c r="M8" s="3"/>
      <c r="N8" s="3"/>
      <c r="O8" s="3"/>
      <c r="P8" s="3"/>
      <c r="Q8" s="3"/>
      <c r="R8" s="3"/>
      <c r="S8" s="3"/>
      <c r="T8" s="3"/>
      <c r="U8" s="3"/>
      <c r="V8" s="3"/>
      <c r="W8" s="3"/>
    </row>
    <row r="9" spans="1:47" x14ac:dyDescent="0.35">
      <c r="A9" s="1" t="s">
        <v>147</v>
      </c>
      <c r="B9" s="1"/>
      <c r="C9" s="1"/>
      <c r="D9" s="1"/>
      <c r="E9" s="1"/>
      <c r="F9" s="1"/>
      <c r="G9" s="1"/>
      <c r="H9" s="1"/>
      <c r="I9" s="1"/>
      <c r="J9" s="1"/>
      <c r="K9" s="1"/>
      <c r="L9" s="1"/>
      <c r="M9" s="1"/>
      <c r="N9" s="1"/>
      <c r="O9" s="1"/>
      <c r="P9" s="1"/>
      <c r="Q9" s="1"/>
      <c r="R9" s="1"/>
      <c r="S9" s="1"/>
      <c r="T9" s="1"/>
      <c r="U9" s="3"/>
      <c r="V9" s="3"/>
      <c r="W9" s="3"/>
    </row>
    <row r="10" spans="1:47" x14ac:dyDescent="0.35">
      <c r="A10" s="1" t="s">
        <v>26</v>
      </c>
      <c r="B10" s="1" t="s">
        <v>165</v>
      </c>
      <c r="C10" s="1"/>
      <c r="D10" s="1"/>
      <c r="E10" s="1"/>
      <c r="F10" s="1"/>
      <c r="G10" s="1"/>
      <c r="H10" s="1"/>
      <c r="I10" s="1"/>
      <c r="J10" s="1"/>
      <c r="K10" s="1" t="s">
        <v>27</v>
      </c>
      <c r="L10" s="1" t="s">
        <v>166</v>
      </c>
      <c r="M10" s="1"/>
      <c r="N10" s="1"/>
      <c r="O10" s="1"/>
      <c r="P10" s="1"/>
      <c r="Q10" s="1"/>
      <c r="R10" s="1"/>
      <c r="S10" s="1"/>
      <c r="T10" s="1"/>
      <c r="U10" s="3"/>
      <c r="V10" s="3"/>
      <c r="W10" s="3"/>
    </row>
    <row r="11" spans="1:47" x14ac:dyDescent="0.35">
      <c r="A11" s="3"/>
      <c r="B11" s="3"/>
      <c r="C11" s="3"/>
      <c r="D11" s="3"/>
      <c r="E11" s="3"/>
      <c r="F11" s="3"/>
      <c r="G11" s="3"/>
      <c r="H11" s="3"/>
      <c r="I11" s="3"/>
      <c r="J11" s="3"/>
      <c r="K11" s="3"/>
      <c r="L11" s="3"/>
      <c r="M11" s="3"/>
      <c r="N11" s="3"/>
      <c r="O11" s="3"/>
      <c r="P11" s="3"/>
      <c r="Q11" s="3"/>
      <c r="R11" s="3"/>
      <c r="S11" s="3"/>
      <c r="T11" s="3"/>
      <c r="U11" s="3"/>
      <c r="V11" s="3"/>
      <c r="W11" s="3"/>
    </row>
    <row r="12" spans="1:47" x14ac:dyDescent="0.35">
      <c r="A12" s="3"/>
      <c r="B12" s="3"/>
      <c r="C12" s="3"/>
      <c r="D12" s="3"/>
      <c r="E12" s="3"/>
      <c r="F12" s="3"/>
      <c r="G12" s="3"/>
      <c r="H12" s="3"/>
      <c r="I12" s="3"/>
      <c r="J12" s="3"/>
      <c r="K12" s="3"/>
      <c r="L12" s="3"/>
      <c r="M12" s="3"/>
      <c r="N12" s="3"/>
      <c r="O12" s="3"/>
      <c r="P12" s="3"/>
      <c r="Q12" s="3"/>
      <c r="R12" s="3"/>
      <c r="S12" s="3"/>
      <c r="T12" s="3"/>
      <c r="U12" s="3"/>
      <c r="V12" s="3"/>
      <c r="W12" s="3"/>
    </row>
    <row r="13" spans="1:47" x14ac:dyDescent="0.35">
      <c r="A13" s="3"/>
      <c r="B13" s="3"/>
      <c r="C13" s="3"/>
      <c r="D13" s="3"/>
      <c r="E13" s="3"/>
      <c r="F13" s="3"/>
      <c r="G13" s="3"/>
      <c r="H13" s="3"/>
      <c r="I13" s="3"/>
      <c r="J13" s="3"/>
      <c r="K13" s="3"/>
      <c r="L13" s="3"/>
      <c r="M13" s="3"/>
      <c r="N13" s="3"/>
      <c r="O13" s="3"/>
      <c r="P13" s="3"/>
      <c r="Q13" s="3"/>
      <c r="R13" s="3"/>
      <c r="S13" s="3"/>
      <c r="T13" s="3"/>
      <c r="U13" s="3"/>
      <c r="V13" s="3"/>
      <c r="W13" s="3"/>
    </row>
    <row r="14" spans="1:47" x14ac:dyDescent="0.35">
      <c r="A14" s="3"/>
      <c r="B14" s="3"/>
      <c r="C14" s="3"/>
      <c r="D14" s="3"/>
      <c r="E14" s="3"/>
      <c r="F14" s="3"/>
      <c r="G14" s="3"/>
      <c r="H14" s="3"/>
      <c r="I14" s="3"/>
      <c r="J14" s="3"/>
      <c r="K14" s="3"/>
      <c r="L14" s="3"/>
      <c r="M14" s="3"/>
      <c r="N14" s="3"/>
      <c r="O14" s="3"/>
      <c r="P14" s="3"/>
      <c r="Q14" s="3"/>
      <c r="R14" s="3"/>
      <c r="S14" s="3"/>
      <c r="T14" s="3"/>
      <c r="U14" s="3"/>
      <c r="V14" s="3"/>
      <c r="W14" s="3"/>
      <c r="AB14" s="19">
        <f t="shared" ref="AB14:AS14" si="0">AC14-1</f>
        <v>29</v>
      </c>
      <c r="AC14" s="19">
        <f t="shared" si="0"/>
        <v>30</v>
      </c>
      <c r="AD14" s="19">
        <f t="shared" si="0"/>
        <v>31</v>
      </c>
      <c r="AE14" s="19">
        <f t="shared" si="0"/>
        <v>32</v>
      </c>
      <c r="AF14" s="19">
        <f t="shared" si="0"/>
        <v>33</v>
      </c>
      <c r="AG14" s="19">
        <f t="shared" si="0"/>
        <v>34</v>
      </c>
      <c r="AH14" s="19">
        <f t="shared" si="0"/>
        <v>35</v>
      </c>
      <c r="AI14" s="19">
        <f t="shared" si="0"/>
        <v>36</v>
      </c>
      <c r="AJ14" s="19">
        <f t="shared" si="0"/>
        <v>37</v>
      </c>
      <c r="AK14" s="19">
        <f t="shared" si="0"/>
        <v>38</v>
      </c>
      <c r="AL14" s="19">
        <f t="shared" si="0"/>
        <v>39</v>
      </c>
      <c r="AM14" s="19">
        <f t="shared" si="0"/>
        <v>40</v>
      </c>
      <c r="AN14" s="19">
        <f t="shared" si="0"/>
        <v>41</v>
      </c>
      <c r="AO14" s="19">
        <f t="shared" si="0"/>
        <v>42</v>
      </c>
      <c r="AP14" s="19">
        <f t="shared" si="0"/>
        <v>43</v>
      </c>
      <c r="AQ14" s="19">
        <f t="shared" si="0"/>
        <v>44</v>
      </c>
      <c r="AR14" s="19">
        <f t="shared" si="0"/>
        <v>45</v>
      </c>
      <c r="AS14" s="19">
        <f t="shared" si="0"/>
        <v>46</v>
      </c>
      <c r="AT14" s="19">
        <f>AU14-1</f>
        <v>47</v>
      </c>
      <c r="AU14" s="19">
        <f>VLOOKUP(AU15,Dates!$A:$D,2,FALSE)</f>
        <v>48</v>
      </c>
    </row>
    <row r="15" spans="1:47" x14ac:dyDescent="0.35">
      <c r="A15" s="3"/>
      <c r="B15" s="3"/>
      <c r="C15" s="3"/>
      <c r="D15" s="3"/>
      <c r="E15" s="3"/>
      <c r="F15" s="3"/>
      <c r="G15" s="3"/>
      <c r="H15" s="3"/>
      <c r="I15" s="3"/>
      <c r="J15" s="3"/>
      <c r="K15" s="3"/>
      <c r="L15" s="3"/>
      <c r="M15" s="3"/>
      <c r="N15" s="3"/>
      <c r="O15" s="3"/>
      <c r="P15" s="3"/>
      <c r="Q15" s="3"/>
      <c r="R15" s="3"/>
      <c r="S15" s="3"/>
      <c r="T15" s="3"/>
      <c r="U15" s="3"/>
      <c r="V15" s="3"/>
      <c r="W15" s="3"/>
      <c r="AB15" s="19" t="str">
        <f>IFERROR(VLOOKUP(AB14,Dates!$B:$D,3,FALSE),"")</f>
        <v>1Q19</v>
      </c>
      <c r="AC15" s="19" t="str">
        <f>IFERROR(VLOOKUP(AC14,Dates!$B:$D,3,FALSE),"")</f>
        <v>2Q19</v>
      </c>
      <c r="AD15" s="19" t="str">
        <f>IFERROR(VLOOKUP(AD14,Dates!$B:$D,3,FALSE),"")</f>
        <v>3Q19</v>
      </c>
      <c r="AE15" s="19" t="str">
        <f>IFERROR(VLOOKUP(AE14,Dates!$B:$D,3,FALSE),"")</f>
        <v>4Q19</v>
      </c>
      <c r="AF15" s="19" t="str">
        <f>IFERROR(VLOOKUP(AF14,Dates!$B:$D,3,FALSE),"")</f>
        <v>1Q20</v>
      </c>
      <c r="AG15" s="19" t="str">
        <f>IFERROR(VLOOKUP(AG14,Dates!$B:$D,3,FALSE),"")</f>
        <v>2Q20</v>
      </c>
      <c r="AH15" s="19" t="str">
        <f>IFERROR(VLOOKUP(AH14,Dates!$B:$D,3,FALSE),"")</f>
        <v>3Q20</v>
      </c>
      <c r="AI15" s="19" t="str">
        <f>IFERROR(VLOOKUP(AI14,Dates!$B:$D,3,FALSE),"")</f>
        <v>4Q20</v>
      </c>
      <c r="AJ15" s="19" t="str">
        <f>IFERROR(VLOOKUP(AJ14,Dates!$B:$D,3,FALSE),"")</f>
        <v>1Q21</v>
      </c>
      <c r="AK15" s="19" t="str">
        <f>IFERROR(VLOOKUP(AK14,Dates!$B:$D,3,FALSE),"")</f>
        <v>2Q21</v>
      </c>
      <c r="AL15" s="19" t="str">
        <f>IFERROR(VLOOKUP(AL14,Dates!$B:$D,3,FALSE),"")</f>
        <v>3Q21</v>
      </c>
      <c r="AM15" s="19" t="str">
        <f>IFERROR(VLOOKUP(AM14,Dates!$B:$D,3,FALSE),"")</f>
        <v>4Q21</v>
      </c>
      <c r="AN15" s="19" t="str">
        <f>IFERROR(VLOOKUP(AN14,Dates!$B:$D,3,FALSE),"")</f>
        <v>1Q22</v>
      </c>
      <c r="AO15" s="19" t="str">
        <f>IFERROR(VLOOKUP(AO14,Dates!$B:$D,3,FALSE),"")</f>
        <v>2Q22</v>
      </c>
      <c r="AP15" s="19" t="str">
        <f>IFERROR(VLOOKUP(AP14,Dates!$B:$D,3,FALSE),"")</f>
        <v>3Q22</v>
      </c>
      <c r="AQ15" s="19" t="str">
        <f>IFERROR(VLOOKUP(AQ14,Dates!$B:$D,3,FALSE),"")</f>
        <v>4Q22</v>
      </c>
      <c r="AR15" s="19" t="str">
        <f>IFERROR(VLOOKUP(AR14,Dates!$B:$D,3,FALSE),"")</f>
        <v>1Q23</v>
      </c>
      <c r="AS15" s="19" t="str">
        <f>IFERROR(VLOOKUP(AS14,Dates!$B:$D,3,FALSE),"")</f>
        <v>2Q23</v>
      </c>
      <c r="AT15" s="19" t="str">
        <f>IFERROR(VLOOKUP(AT14,Dates!$B:$D,3,FALSE),"")</f>
        <v>3Q23</v>
      </c>
      <c r="AU15" s="20" t="str">
        <f>$G$3</f>
        <v>4Q23</v>
      </c>
    </row>
    <row r="16" spans="1:47" x14ac:dyDescent="0.35">
      <c r="A16" s="3"/>
      <c r="B16" s="3"/>
      <c r="C16" s="3"/>
      <c r="D16" s="3"/>
      <c r="E16" s="3"/>
      <c r="F16" s="3"/>
      <c r="G16" s="3"/>
      <c r="H16" s="3"/>
      <c r="I16" s="3"/>
      <c r="J16" s="3"/>
      <c r="K16" s="3"/>
      <c r="L16" s="3"/>
      <c r="M16" s="3"/>
      <c r="N16" s="3"/>
      <c r="O16" s="3"/>
      <c r="P16" s="3"/>
      <c r="Q16" s="3"/>
      <c r="R16" s="3"/>
      <c r="S16" s="3"/>
      <c r="T16" s="3"/>
      <c r="U16" s="3"/>
      <c r="V16" s="3"/>
      <c r="W16" s="3"/>
      <c r="AA16" s="21" t="str">
        <f>'Reported Group Highlights'!A13</f>
        <v>Service Revenues</v>
      </c>
      <c r="AB16" s="22">
        <f>IFERROR(INDEX('Reported Group Highlights'!$A:$AAW,MATCH($AA16,'Reported Group Highlights'!$A:$A,0),MATCH(AB15,'Reported Group Highlights'!$1:$1,0)),"")</f>
        <v>5416.491</v>
      </c>
      <c r="AC16" s="22">
        <f>IFERROR(INDEX('Reported Group Highlights'!$A:$AAW,MATCH($AA16,'Reported Group Highlights'!$A:$A,0),MATCH(AC15,'Reported Group Highlights'!$1:$1,0)),"")</f>
        <v>5702.2049999999999</v>
      </c>
      <c r="AD16" s="22">
        <f>IFERROR(INDEX('Reported Group Highlights'!$A:$AAW,MATCH($AA16,'Reported Group Highlights'!$A:$A,0),MATCH(AD15,'Reported Group Highlights'!$1:$1,0)),"")</f>
        <v>5938.03</v>
      </c>
      <c r="AE16" s="22">
        <f>IFERROR(INDEX('Reported Group Highlights'!$A:$AAW,MATCH($AA16,'Reported Group Highlights'!$A:$A,0),MATCH(AE15,'Reported Group Highlights'!$1:$1,0)),"")</f>
        <v>5893.9310000000005</v>
      </c>
      <c r="AF16" s="22">
        <f>IFERROR(INDEX('Reported Group Highlights'!$A:$AAW,MATCH($AA16,'Reported Group Highlights'!$A:$A,0),MATCH(AF15,'Reported Group Highlights'!$1:$1,0)),"")</f>
        <v>6007.1940000000004</v>
      </c>
      <c r="AG16" s="22">
        <f>IFERROR(INDEX('Reported Group Highlights'!$A:$AAW,MATCH($AA16,'Reported Group Highlights'!$A:$A,0),MATCH(AG15,'Reported Group Highlights'!$1:$1,0)),"")</f>
        <v>6179.2209999999995</v>
      </c>
      <c r="AH16" s="22">
        <f>IFERROR(INDEX('Reported Group Highlights'!$A:$AAW,MATCH($AA16,'Reported Group Highlights'!$A:$A,0),MATCH(AH15,'Reported Group Highlights'!$1:$1,0)),"")</f>
        <v>6149.0410000000002</v>
      </c>
      <c r="AI16" s="22">
        <f>IFERROR(INDEX('Reported Group Highlights'!$A:$AAW,MATCH($AA16,'Reported Group Highlights'!$A:$A,0),MATCH(AI15,'Reported Group Highlights'!$1:$1,0)),"")</f>
        <v>5877.299</v>
      </c>
      <c r="AJ16" s="22">
        <f>IFERROR(INDEX('Reported Group Highlights'!$A:$AAW,MATCH($AA16,'Reported Group Highlights'!$A:$A,0),MATCH(AJ15,'Reported Group Highlights'!$1:$1,0)),"")</f>
        <v>5787.55</v>
      </c>
      <c r="AK16" s="22">
        <f>IFERROR(INDEX('Reported Group Highlights'!$A:$AAW,MATCH($AA16,'Reported Group Highlights'!$A:$A,0),MATCH(AK15,'Reported Group Highlights'!$1:$1,0)),"")</f>
        <v>6279.5730000000003</v>
      </c>
      <c r="AL16" s="22">
        <f>IFERROR(INDEX('Reported Group Highlights'!$A:$AAW,MATCH($AA16,'Reported Group Highlights'!$A:$A,0),MATCH(AL15,'Reported Group Highlights'!$1:$1,0)),"")</f>
        <v>6339.808</v>
      </c>
      <c r="AM16" s="22">
        <f>IFERROR(INDEX('Reported Group Highlights'!$A:$AAW,MATCH($AA16,'Reported Group Highlights'!$A:$A,0),MATCH(AM15,'Reported Group Highlights'!$1:$1,0)),"")</f>
        <v>6399.6030000000001</v>
      </c>
      <c r="AN16" s="22">
        <f>IFERROR(INDEX('Reported Group Highlights'!$A:$AAW,MATCH($AA16,'Reported Group Highlights'!$A:$A,0),MATCH(AN15,'Reported Group Highlights'!$1:$1,0)),"")</f>
        <v>6481.942</v>
      </c>
      <c r="AO16" s="22">
        <f>IFERROR(INDEX('Reported Group Highlights'!$A:$AAW,MATCH($AA16,'Reported Group Highlights'!$A:$A,0),MATCH(AO15,'Reported Group Highlights'!$1:$1,0)),"")</f>
        <v>6915.7349999999997</v>
      </c>
      <c r="AP16" s="22">
        <f>IFERROR(INDEX('Reported Group Highlights'!$A:$AAW,MATCH($AA16,'Reported Group Highlights'!$A:$A,0),MATCH(AP15,'Reported Group Highlights'!$1:$1,0)),"")</f>
        <v>7106.4489999999996</v>
      </c>
      <c r="AQ16" s="22">
        <f>IFERROR(INDEX('Reported Group Highlights'!$A:$AAW,MATCH($AA16,'Reported Group Highlights'!$A:$A,0),MATCH(AQ15,'Reported Group Highlights'!$1:$1,0)),"")</f>
        <v>7303.9309999999996</v>
      </c>
      <c r="AR16" s="22">
        <f>IFERROR(INDEX('Reported Group Highlights'!$A:$AAW,MATCH($AA16,'Reported Group Highlights'!$A:$A,0),MATCH(AR15,'Reported Group Highlights'!$1:$1,0)),"")</f>
        <v>7295.3689999999997</v>
      </c>
      <c r="AS16" s="22">
        <f>IFERROR(INDEX('Reported Group Highlights'!$A:$AAW,MATCH($AA16,'Reported Group Highlights'!$A:$A,0),MATCH(AS15,'Reported Group Highlights'!$1:$1,0)),"")</f>
        <v>7885.442</v>
      </c>
      <c r="AT16" s="22">
        <f>IFERROR(INDEX('Reported Group Highlights'!$A:$AAW,MATCH($AA16,'Reported Group Highlights'!$A:$A,0),MATCH(AT15,'Reported Group Highlights'!$1:$1,0)),"")</f>
        <v>7678.3300000000008</v>
      </c>
      <c r="AU16" s="22">
        <f>IFERROR(INDEX('Reported Group Highlights'!$A:$AAW,MATCH($AA16,'Reported Group Highlights'!$A:$A,0),MATCH(AU15,'Reported Group Highlights'!$1:$1,0)),"")</f>
        <v>8048.0879999999988</v>
      </c>
    </row>
    <row r="17" spans="1:47" x14ac:dyDescent="0.35">
      <c r="A17" s="3"/>
      <c r="B17" s="3"/>
      <c r="C17" s="3"/>
      <c r="D17" s="3"/>
      <c r="E17" s="3"/>
      <c r="F17" s="3"/>
      <c r="G17" s="3"/>
      <c r="H17" s="3"/>
      <c r="I17" s="3"/>
      <c r="J17" s="3"/>
      <c r="K17" s="3"/>
      <c r="L17" s="3"/>
      <c r="M17" s="3"/>
      <c r="N17" s="3"/>
      <c r="O17" s="3"/>
      <c r="P17" s="3"/>
      <c r="Q17" s="3"/>
      <c r="R17" s="3"/>
      <c r="S17" s="3"/>
      <c r="T17" s="3"/>
      <c r="U17" s="3"/>
      <c r="V17" s="3"/>
      <c r="W17" s="3"/>
    </row>
    <row r="18" spans="1:47" x14ac:dyDescent="0.35">
      <c r="A18" s="3"/>
      <c r="B18" s="3"/>
      <c r="C18" s="3"/>
      <c r="D18" s="3"/>
      <c r="E18" s="3"/>
      <c r="F18" s="3"/>
      <c r="G18" s="3"/>
      <c r="H18" s="3"/>
      <c r="I18" s="3"/>
      <c r="J18" s="3"/>
      <c r="K18" s="3"/>
      <c r="L18" s="3"/>
      <c r="M18" s="3"/>
      <c r="N18" s="3"/>
      <c r="O18" s="3"/>
      <c r="P18" s="3"/>
      <c r="Q18" s="3"/>
      <c r="R18" s="3"/>
      <c r="S18" s="3"/>
      <c r="T18" s="3"/>
      <c r="U18" s="3"/>
      <c r="V18" s="3"/>
      <c r="W18" s="3"/>
    </row>
    <row r="19" spans="1:47" x14ac:dyDescent="0.35">
      <c r="A19" s="3"/>
      <c r="B19" s="3"/>
      <c r="C19" s="3"/>
      <c r="D19" s="3"/>
      <c r="E19" s="3"/>
      <c r="F19" s="3"/>
      <c r="G19" s="3"/>
      <c r="H19" s="3"/>
      <c r="I19" s="3"/>
      <c r="J19" s="3"/>
      <c r="K19" s="3"/>
      <c r="L19" s="3"/>
      <c r="M19" s="3"/>
      <c r="N19" s="3"/>
      <c r="O19" s="3"/>
      <c r="P19" s="3"/>
      <c r="Q19" s="3"/>
      <c r="R19" s="3"/>
      <c r="S19" s="3"/>
      <c r="T19" s="3"/>
      <c r="U19" s="3"/>
      <c r="V19" s="3"/>
      <c r="W19" s="3"/>
    </row>
    <row r="20" spans="1:47" x14ac:dyDescent="0.35">
      <c r="A20" s="3"/>
      <c r="B20" s="3"/>
      <c r="C20" s="3"/>
      <c r="D20" s="3"/>
      <c r="E20" s="3"/>
      <c r="F20" s="3"/>
      <c r="G20" s="3"/>
      <c r="H20" s="3"/>
      <c r="I20" s="3"/>
      <c r="J20" s="3"/>
      <c r="K20" s="3"/>
      <c r="L20" s="3"/>
      <c r="M20" s="3"/>
      <c r="N20" s="3"/>
      <c r="O20" s="3"/>
      <c r="P20" s="3"/>
      <c r="Q20" s="3"/>
      <c r="R20" s="3"/>
      <c r="S20" s="3"/>
      <c r="T20" s="3"/>
      <c r="U20" s="3"/>
      <c r="V20" s="3"/>
      <c r="W20" s="3"/>
      <c r="AB20" s="19">
        <f t="shared" ref="AB20" si="1">AC20-1</f>
        <v>29</v>
      </c>
      <c r="AC20" s="19">
        <f t="shared" ref="AC20" si="2">AD20-1</f>
        <v>30</v>
      </c>
      <c r="AD20" s="19">
        <f t="shared" ref="AD20" si="3">AE20-1</f>
        <v>31</v>
      </c>
      <c r="AE20" s="19">
        <f t="shared" ref="AE20" si="4">AF20-1</f>
        <v>32</v>
      </c>
      <c r="AF20" s="19">
        <f t="shared" ref="AF20" si="5">AG20-1</f>
        <v>33</v>
      </c>
      <c r="AG20" s="19">
        <f t="shared" ref="AG20" si="6">AH20-1</f>
        <v>34</v>
      </c>
      <c r="AH20" s="19">
        <f t="shared" ref="AH20" si="7">AI20-1</f>
        <v>35</v>
      </c>
      <c r="AI20" s="19">
        <f t="shared" ref="AI20" si="8">AJ20-1</f>
        <v>36</v>
      </c>
      <c r="AJ20" s="19">
        <f t="shared" ref="AJ20" si="9">AK20-1</f>
        <v>37</v>
      </c>
      <c r="AK20" s="19">
        <f t="shared" ref="AK20" si="10">AL20-1</f>
        <v>38</v>
      </c>
      <c r="AL20" s="19">
        <f t="shared" ref="AL20" si="11">AM20-1</f>
        <v>39</v>
      </c>
      <c r="AM20" s="19">
        <f t="shared" ref="AM20" si="12">AN20-1</f>
        <v>40</v>
      </c>
      <c r="AN20" s="19">
        <f t="shared" ref="AN20" si="13">AO20-1</f>
        <v>41</v>
      </c>
      <c r="AO20" s="19">
        <f t="shared" ref="AO20" si="14">AP20-1</f>
        <v>42</v>
      </c>
      <c r="AP20" s="19">
        <f t="shared" ref="AP20" si="15">AQ20-1</f>
        <v>43</v>
      </c>
      <c r="AQ20" s="19">
        <f t="shared" ref="AQ20" si="16">AR20-1</f>
        <v>44</v>
      </c>
      <c r="AR20" s="19">
        <f t="shared" ref="AR20" si="17">AS20-1</f>
        <v>45</v>
      </c>
      <c r="AS20" s="19">
        <f t="shared" ref="AS20" si="18">AT20-1</f>
        <v>46</v>
      </c>
      <c r="AT20" s="19">
        <f>AU20-1</f>
        <v>47</v>
      </c>
      <c r="AU20" s="19">
        <f>VLOOKUP(AU21,Dates!$A:$D,2,FALSE)</f>
        <v>48</v>
      </c>
    </row>
    <row r="21" spans="1:47" x14ac:dyDescent="0.35">
      <c r="A21" s="3"/>
      <c r="B21" s="3"/>
      <c r="C21" s="3"/>
      <c r="D21" s="3"/>
      <c r="E21" s="3"/>
      <c r="F21" s="3"/>
      <c r="G21" s="3"/>
      <c r="H21" s="3"/>
      <c r="I21" s="3"/>
      <c r="J21" s="3"/>
      <c r="K21" s="3"/>
      <c r="L21" s="3"/>
      <c r="M21" s="3"/>
      <c r="N21" s="3"/>
      <c r="O21" s="3"/>
      <c r="P21" s="3"/>
      <c r="Q21" s="3"/>
      <c r="R21" s="3"/>
      <c r="S21" s="3"/>
      <c r="T21" s="3"/>
      <c r="U21" s="3"/>
      <c r="V21" s="3"/>
      <c r="W21" s="3"/>
      <c r="AB21" s="19" t="str">
        <f>IFERROR(VLOOKUP(AB20,Dates!$B:$D,3,FALSE),"")</f>
        <v>1Q19</v>
      </c>
      <c r="AC21" s="19" t="str">
        <f>IFERROR(VLOOKUP(AC20,Dates!$B:$D,3,FALSE),"")</f>
        <v>2Q19</v>
      </c>
      <c r="AD21" s="19" t="str">
        <f>IFERROR(VLOOKUP(AD20,Dates!$B:$D,3,FALSE),"")</f>
        <v>3Q19</v>
      </c>
      <c r="AE21" s="19" t="str">
        <f>IFERROR(VLOOKUP(AE20,Dates!$B:$D,3,FALSE),"")</f>
        <v>4Q19</v>
      </c>
      <c r="AF21" s="19" t="str">
        <f>IFERROR(VLOOKUP(AF20,Dates!$B:$D,3,FALSE),"")</f>
        <v>1Q20</v>
      </c>
      <c r="AG21" s="19" t="str">
        <f>IFERROR(VLOOKUP(AG20,Dates!$B:$D,3,FALSE),"")</f>
        <v>2Q20</v>
      </c>
      <c r="AH21" s="19" t="str">
        <f>IFERROR(VLOOKUP(AH20,Dates!$B:$D,3,FALSE),"")</f>
        <v>3Q20</v>
      </c>
      <c r="AI21" s="19" t="str">
        <f>IFERROR(VLOOKUP(AI20,Dates!$B:$D,3,FALSE),"")</f>
        <v>4Q20</v>
      </c>
      <c r="AJ21" s="19" t="str">
        <f>IFERROR(VLOOKUP(AJ20,Dates!$B:$D,3,FALSE),"")</f>
        <v>1Q21</v>
      </c>
      <c r="AK21" s="19" t="str">
        <f>IFERROR(VLOOKUP(AK20,Dates!$B:$D,3,FALSE),"")</f>
        <v>2Q21</v>
      </c>
      <c r="AL21" s="19" t="str">
        <f>IFERROR(VLOOKUP(AL20,Dates!$B:$D,3,FALSE),"")</f>
        <v>3Q21</v>
      </c>
      <c r="AM21" s="19" t="str">
        <f>IFERROR(VLOOKUP(AM20,Dates!$B:$D,3,FALSE),"")</f>
        <v>4Q21</v>
      </c>
      <c r="AN21" s="19" t="str">
        <f>IFERROR(VLOOKUP(AN20,Dates!$B:$D,3,FALSE),"")</f>
        <v>1Q22</v>
      </c>
      <c r="AO21" s="19" t="str">
        <f>IFERROR(VLOOKUP(AO20,Dates!$B:$D,3,FALSE),"")</f>
        <v>2Q22</v>
      </c>
      <c r="AP21" s="19" t="str">
        <f>IFERROR(VLOOKUP(AP20,Dates!$B:$D,3,FALSE),"")</f>
        <v>3Q22</v>
      </c>
      <c r="AQ21" s="19" t="str">
        <f>IFERROR(VLOOKUP(AQ20,Dates!$B:$D,3,FALSE),"")</f>
        <v>4Q22</v>
      </c>
      <c r="AR21" s="19" t="str">
        <f>IFERROR(VLOOKUP(AR20,Dates!$B:$D,3,FALSE),"")</f>
        <v>1Q23</v>
      </c>
      <c r="AS21" s="19" t="str">
        <f>IFERROR(VLOOKUP(AS20,Dates!$B:$D,3,FALSE),"")</f>
        <v>2Q23</v>
      </c>
      <c r="AT21" s="19" t="str">
        <f>IFERROR(VLOOKUP(AT20,Dates!$B:$D,3,FALSE),"")</f>
        <v>3Q23</v>
      </c>
      <c r="AU21" s="20" t="str">
        <f>$G$3</f>
        <v>4Q23</v>
      </c>
    </row>
    <row r="22" spans="1:47" x14ac:dyDescent="0.35">
      <c r="A22" s="3"/>
      <c r="B22" s="3"/>
      <c r="C22" s="3"/>
      <c r="D22" s="3"/>
      <c r="E22" s="3"/>
      <c r="F22" s="3"/>
      <c r="G22" s="3"/>
      <c r="H22" s="3"/>
      <c r="I22" s="3"/>
      <c r="J22" s="3"/>
      <c r="K22" s="3"/>
      <c r="L22" s="3"/>
      <c r="M22" s="3"/>
      <c r="N22" s="3"/>
      <c r="O22" s="3"/>
      <c r="P22" s="3"/>
      <c r="Q22" s="3"/>
      <c r="R22" s="3"/>
      <c r="S22" s="3"/>
      <c r="T22" s="3"/>
      <c r="U22" s="3"/>
      <c r="V22" s="3"/>
      <c r="W22" s="3"/>
      <c r="AA22" s="21" t="str">
        <f>'Reported Group Highlights'!A71</f>
        <v>Group Service Revenue (Ex-IC) Growth YoY</v>
      </c>
      <c r="AB22" s="23">
        <f>IFERROR(INDEX('Reported Group Highlights'!$A:$AAW,MATCH($AA22,'Reported Group Highlights'!$A:$A,0),MATCH(AB21,'Reported Group Highlights'!$1:$1,0)),"")</f>
        <v>0.11601921373518742</v>
      </c>
      <c r="AC22" s="23">
        <f>IFERROR(INDEX('Reported Group Highlights'!$A:$AAW,MATCH($AA22,'Reported Group Highlights'!$A:$A,0),MATCH(AC21,'Reported Group Highlights'!$1:$1,0)),"")</f>
        <v>0.17762400697049041</v>
      </c>
      <c r="AD22" s="23">
        <f>IFERROR(INDEX('Reported Group Highlights'!$A:$AAW,MATCH($AA22,'Reported Group Highlights'!$A:$A,0),MATCH(AD21,'Reported Group Highlights'!$1:$1,0)),"")</f>
        <v>0.1764965781122021</v>
      </c>
      <c r="AE22" s="23">
        <f>IFERROR(INDEX('Reported Group Highlights'!$A:$AAW,MATCH($AA22,'Reported Group Highlights'!$A:$A,0),MATCH(AE21,'Reported Group Highlights'!$1:$1,0)),"")</f>
        <v>0.10308872201165031</v>
      </c>
      <c r="AF22" s="23">
        <f>IFERROR(INDEX('Reported Group Highlights'!$A:$AAW,MATCH($AA22,'Reported Group Highlights'!$A:$A,0),MATCH(AF21,'Reported Group Highlights'!$1:$1,0)),"")</f>
        <v>0.10905639832134861</v>
      </c>
      <c r="AG22" s="23">
        <f>IFERROR(INDEX('Reported Group Highlights'!$A:$AAW,MATCH($AA22,'Reported Group Highlights'!$A:$A,0),MATCH(AG21,'Reported Group Highlights'!$1:$1,0)),"")</f>
        <v>8.3654656400462546E-2</v>
      </c>
      <c r="AH22" s="23">
        <f>IFERROR(INDEX('Reported Group Highlights'!$A:$AAW,MATCH($AA22,'Reported Group Highlights'!$A:$A,0),MATCH(AH21,'Reported Group Highlights'!$1:$1,0)),"")</f>
        <v>3.5535522723866508E-2</v>
      </c>
      <c r="AI22" s="23">
        <f>IFERROR(INDEX('Reported Group Highlights'!$A:$AAW,MATCH($AA22,'Reported Group Highlights'!$A:$A,0),MATCH(AI21,'Reported Group Highlights'!$1:$1,0)),"")</f>
        <v>0</v>
      </c>
      <c r="AJ22" s="23">
        <f>IFERROR(INDEX('Reported Group Highlights'!$A:$AAW,MATCH($AA22,'Reported Group Highlights'!$A:$A,0),MATCH(AJ21,'Reported Group Highlights'!$1:$1,0)),"")</f>
        <v>-3.6563493704381833E-2</v>
      </c>
      <c r="AK22" s="23">
        <f>IFERROR(INDEX('Reported Group Highlights'!$A:$AAW,MATCH($AA22,'Reported Group Highlights'!$A:$A,0),MATCH(AK21,'Reported Group Highlights'!$1:$1,0)),"")</f>
        <v>1.6240234812770149E-2</v>
      </c>
      <c r="AL22" s="23">
        <f>IFERROR(INDEX('Reported Group Highlights'!$A:$AAW,MATCH($AA22,'Reported Group Highlights'!$A:$A,0),MATCH(AL21,'Reported Group Highlights'!$1:$1,0)),"")</f>
        <v>3.0826945033436637E-2</v>
      </c>
      <c r="AM22" s="23">
        <f>IFERROR(INDEX('Reported Group Highlights'!$A:$AAW,MATCH($AA22,'Reported Group Highlights'!$A:$A,0),MATCH(AM21,'Reported Group Highlights'!$1:$1,0)),"")</f>
        <v>8.8868032747695835E-2</v>
      </c>
      <c r="AN22" s="23">
        <f>IFERROR(INDEX('Reported Group Highlights'!$A:$AAW,MATCH($AA22,'Reported Group Highlights'!$A:$A,0),MATCH(AN21,'Reported Group Highlights'!$1:$1,0)),"")</f>
        <v>0.11998030254598224</v>
      </c>
      <c r="AO22" s="23">
        <f>IFERROR(INDEX('Reported Group Highlights'!$A:$AAW,MATCH($AA22,'Reported Group Highlights'!$A:$A,0),MATCH(AO21,'Reported Group Highlights'!$1:$1,0)),"")</f>
        <v>0.10130656973013918</v>
      </c>
      <c r="AP22" s="23">
        <f>IFERROR(INDEX('Reported Group Highlights'!$A:$AAW,MATCH($AA22,'Reported Group Highlights'!$A:$A,0),MATCH(AP21,'Reported Group Highlights'!$1:$1,0)),"")</f>
        <v>0.1209249554560643</v>
      </c>
      <c r="AQ22" s="23">
        <f>IFERROR(INDEX('Reported Group Highlights'!$A:$AAW,MATCH($AA22,'Reported Group Highlights'!$A:$A,0),MATCH(AQ21,'Reported Group Highlights'!$1:$1,0)),"")</f>
        <v>0.14131001563690737</v>
      </c>
      <c r="AR22" s="23">
        <f>IFERROR(INDEX('Reported Group Highlights'!$A:$AAW,MATCH($AA22,'Reported Group Highlights'!$A:$A,0),MATCH(AR21,'Reported Group Highlights'!$1:$1,0)),"")</f>
        <v>0.12549124938174394</v>
      </c>
      <c r="AS22" s="23">
        <f>IFERROR(INDEX('Reported Group Highlights'!$A:$AAW,MATCH($AA22,'Reported Group Highlights'!$A:$A,0),MATCH(AS21,'Reported Group Highlights'!$1:$1,0)),"")</f>
        <v>0.14021748953654245</v>
      </c>
      <c r="AT22" s="23">
        <f>IFERROR(INDEX('Reported Group Highlights'!$A:$AAW,MATCH($AA22,'Reported Group Highlights'!$A:$A,0),MATCH(AT21,'Reported Group Highlights'!$1:$1,0)),"")</f>
        <v>8.0473524822312958E-2</v>
      </c>
      <c r="AU22" s="23">
        <f>IFERROR(INDEX('Reported Group Highlights'!$A:$AAW,MATCH($AA22,'Reported Group Highlights'!$A:$A,0),MATCH(AU21,'Reported Group Highlights'!$1:$1,0)),"")</f>
        <v>0.10188445098947385</v>
      </c>
    </row>
    <row r="23" spans="1:47" x14ac:dyDescent="0.35">
      <c r="A23" s="3"/>
      <c r="B23" s="3"/>
      <c r="C23" s="3"/>
      <c r="D23" s="3"/>
      <c r="E23" s="3"/>
      <c r="F23" s="3"/>
      <c r="G23" s="3"/>
      <c r="H23" s="3"/>
      <c r="I23" s="3"/>
      <c r="J23" s="3"/>
      <c r="K23" s="3"/>
      <c r="L23" s="3"/>
      <c r="M23" s="3"/>
      <c r="N23" s="3"/>
      <c r="O23" s="3"/>
      <c r="P23" s="3"/>
      <c r="Q23" s="3"/>
      <c r="R23" s="3"/>
      <c r="S23" s="3"/>
      <c r="T23" s="3"/>
      <c r="U23" s="3"/>
      <c r="V23" s="3"/>
      <c r="W23" s="3"/>
    </row>
    <row r="24" spans="1:47" x14ac:dyDescent="0.35">
      <c r="A24" s="3"/>
      <c r="B24" s="3"/>
      <c r="C24" s="3"/>
      <c r="D24" s="3"/>
      <c r="E24" s="3"/>
      <c r="F24" s="3"/>
      <c r="G24" s="3"/>
      <c r="H24" s="3"/>
      <c r="I24" s="3"/>
      <c r="J24" s="3"/>
      <c r="K24" s="3"/>
      <c r="L24" s="3"/>
      <c r="M24" s="3"/>
      <c r="N24" s="3"/>
      <c r="O24" s="3"/>
      <c r="P24" s="3"/>
      <c r="Q24" s="3"/>
      <c r="R24" s="3"/>
      <c r="S24" s="3"/>
      <c r="T24" s="3"/>
      <c r="U24" s="3"/>
      <c r="V24" s="3"/>
      <c r="W24" s="3"/>
    </row>
    <row r="25" spans="1:47" x14ac:dyDescent="0.35">
      <c r="A25" s="3"/>
      <c r="B25" s="3"/>
      <c r="C25" s="3"/>
      <c r="D25" s="3"/>
      <c r="E25" s="3"/>
      <c r="F25" s="3"/>
      <c r="G25" s="3"/>
      <c r="H25" s="3"/>
      <c r="I25" s="3"/>
      <c r="J25" s="3"/>
      <c r="K25" s="3"/>
      <c r="L25" s="3"/>
      <c r="M25" s="3"/>
      <c r="N25" s="3"/>
      <c r="O25" s="3"/>
      <c r="P25" s="3"/>
      <c r="Q25" s="3"/>
      <c r="R25" s="3"/>
      <c r="S25" s="3"/>
      <c r="T25" s="3"/>
      <c r="U25" s="3"/>
      <c r="V25" s="3"/>
      <c r="W25" s="3"/>
    </row>
    <row r="26" spans="1:47" x14ac:dyDescent="0.35">
      <c r="A26" s="3"/>
      <c r="B26" s="3"/>
      <c r="C26" s="3"/>
      <c r="D26" s="3"/>
      <c r="E26" s="3"/>
      <c r="F26" s="3"/>
      <c r="G26" s="3"/>
      <c r="H26" s="3"/>
      <c r="I26" s="3"/>
      <c r="J26" s="3"/>
      <c r="K26" s="3"/>
      <c r="L26" s="3"/>
      <c r="M26" s="3"/>
      <c r="N26" s="3"/>
      <c r="O26" s="3"/>
      <c r="P26" s="3"/>
      <c r="Q26" s="3"/>
      <c r="R26" s="3"/>
      <c r="S26" s="3"/>
      <c r="T26" s="3"/>
      <c r="U26" s="3"/>
      <c r="V26" s="3"/>
      <c r="W26" s="3"/>
    </row>
    <row r="27" spans="1:47" x14ac:dyDescent="0.35">
      <c r="A27" s="3" t="s">
        <v>184</v>
      </c>
      <c r="B27" s="3"/>
      <c r="C27" s="3"/>
      <c r="D27" s="3"/>
      <c r="E27" s="3"/>
      <c r="F27" s="3"/>
      <c r="G27" s="3"/>
      <c r="H27" s="3"/>
      <c r="I27" s="3"/>
      <c r="J27" s="3"/>
      <c r="K27" s="3"/>
      <c r="L27" s="3"/>
      <c r="M27" s="3"/>
      <c r="N27" s="3"/>
      <c r="O27" s="3"/>
      <c r="P27" s="3"/>
      <c r="Q27" s="3"/>
      <c r="R27" s="3"/>
      <c r="S27" s="3"/>
      <c r="T27" s="3"/>
      <c r="U27" s="3"/>
      <c r="V27" s="3"/>
      <c r="W27" s="3"/>
    </row>
    <row r="28" spans="1:47" x14ac:dyDescent="0.35">
      <c r="A28" s="3"/>
      <c r="B28" s="3"/>
      <c r="C28" s="3"/>
      <c r="D28" s="3"/>
      <c r="E28" s="3"/>
      <c r="F28" s="3"/>
      <c r="G28" s="3"/>
      <c r="H28" s="3"/>
      <c r="I28" s="3"/>
      <c r="J28" s="3"/>
      <c r="K28" s="3"/>
      <c r="L28" s="3"/>
      <c r="M28" s="3"/>
      <c r="N28" s="3"/>
      <c r="O28" s="3"/>
      <c r="P28" s="3"/>
      <c r="Q28" s="3"/>
      <c r="R28" s="3"/>
      <c r="S28" s="3"/>
      <c r="T28" s="3"/>
      <c r="U28" s="3"/>
      <c r="V28" s="3"/>
      <c r="W28" s="3"/>
    </row>
    <row r="29" spans="1:47" x14ac:dyDescent="0.35">
      <c r="A29" s="1" t="s">
        <v>28</v>
      </c>
      <c r="B29" s="1" t="s">
        <v>162</v>
      </c>
      <c r="C29" s="1"/>
      <c r="D29" s="1"/>
      <c r="E29" s="1"/>
      <c r="F29" s="1"/>
      <c r="G29" s="1"/>
      <c r="H29" s="1"/>
      <c r="I29" s="1"/>
      <c r="J29" s="1"/>
      <c r="K29" s="1"/>
      <c r="L29" s="1"/>
      <c r="M29" s="1"/>
      <c r="N29" s="1"/>
      <c r="O29" s="1"/>
      <c r="P29" s="1"/>
      <c r="Q29" s="1"/>
      <c r="R29" s="1"/>
      <c r="S29" s="1"/>
      <c r="T29" s="1"/>
      <c r="U29" s="3"/>
      <c r="V29" s="3"/>
      <c r="W29" s="3"/>
    </row>
    <row r="30" spans="1:47" x14ac:dyDescent="0.35">
      <c r="A30" s="3"/>
      <c r="B30" s="3"/>
      <c r="C30" s="3"/>
      <c r="D30" s="3"/>
      <c r="E30" s="3"/>
      <c r="F30" s="3"/>
      <c r="G30" s="3"/>
      <c r="H30" s="3"/>
      <c r="I30" s="3"/>
      <c r="J30" s="3"/>
      <c r="K30" s="3"/>
      <c r="L30" s="3"/>
      <c r="M30" s="3"/>
      <c r="N30" s="3"/>
      <c r="O30" s="3"/>
      <c r="P30" s="3"/>
      <c r="Q30" s="3"/>
      <c r="R30" s="3"/>
      <c r="S30" s="3"/>
      <c r="T30" s="3"/>
      <c r="U30" s="3"/>
      <c r="V30" s="3"/>
      <c r="W30" s="3"/>
    </row>
    <row r="31" spans="1:47" x14ac:dyDescent="0.35">
      <c r="A31" s="3"/>
      <c r="B31" s="3"/>
      <c r="C31" s="3"/>
      <c r="D31" s="3"/>
      <c r="E31" s="3"/>
      <c r="F31" s="3"/>
      <c r="G31" s="3"/>
      <c r="H31" s="3"/>
      <c r="I31" s="3"/>
      <c r="J31" s="3"/>
      <c r="K31" s="3"/>
      <c r="L31" s="3"/>
      <c r="M31" s="3"/>
      <c r="N31" s="3"/>
      <c r="O31" s="3"/>
      <c r="P31" s="3"/>
      <c r="Q31" s="3"/>
      <c r="R31" s="3"/>
      <c r="S31" s="3"/>
      <c r="T31" s="3"/>
      <c r="U31" s="3"/>
      <c r="V31" s="3"/>
      <c r="W31" s="3"/>
    </row>
    <row r="32" spans="1:47" x14ac:dyDescent="0.35">
      <c r="A32" s="3"/>
      <c r="B32" s="3"/>
      <c r="C32" s="3"/>
      <c r="D32" s="3"/>
      <c r="E32" s="3"/>
      <c r="F32" s="3"/>
      <c r="G32" s="3"/>
      <c r="H32" s="3"/>
      <c r="I32" s="3"/>
      <c r="J32" s="3"/>
      <c r="K32" s="3"/>
      <c r="L32" s="3"/>
      <c r="M32" s="3"/>
      <c r="N32" s="3"/>
      <c r="O32" s="3"/>
      <c r="P32" s="3"/>
      <c r="Q32" s="3"/>
      <c r="R32" s="3"/>
      <c r="S32" s="3"/>
      <c r="T32" s="3"/>
      <c r="U32" s="3"/>
      <c r="V32" s="3"/>
      <c r="W32" s="3"/>
    </row>
    <row r="33" spans="1:47" x14ac:dyDescent="0.35">
      <c r="A33" s="3"/>
      <c r="B33" s="3"/>
      <c r="C33" s="3"/>
      <c r="D33" s="3"/>
      <c r="E33" s="3"/>
      <c r="F33" s="3"/>
      <c r="G33" s="3"/>
      <c r="H33" s="3"/>
      <c r="I33" s="3"/>
      <c r="J33" s="3"/>
      <c r="K33" s="3"/>
      <c r="L33" s="3"/>
      <c r="M33" s="3"/>
      <c r="N33" s="3"/>
      <c r="O33" s="3"/>
      <c r="P33" s="3"/>
      <c r="Q33" s="3"/>
      <c r="R33" s="3"/>
      <c r="S33" s="3"/>
      <c r="T33" s="3"/>
      <c r="U33" s="3"/>
      <c r="V33" s="3"/>
      <c r="W33" s="3"/>
      <c r="AB33" s="19">
        <f t="shared" ref="AB33" si="19">AC33-1</f>
        <v>29</v>
      </c>
      <c r="AC33" s="19">
        <f t="shared" ref="AC33" si="20">AD33-1</f>
        <v>30</v>
      </c>
      <c r="AD33" s="19">
        <f t="shared" ref="AD33" si="21">AE33-1</f>
        <v>31</v>
      </c>
      <c r="AE33" s="19">
        <f t="shared" ref="AE33" si="22">AF33-1</f>
        <v>32</v>
      </c>
      <c r="AF33" s="19">
        <f t="shared" ref="AF33" si="23">AG33-1</f>
        <v>33</v>
      </c>
      <c r="AG33" s="19">
        <f t="shared" ref="AG33" si="24">AH33-1</f>
        <v>34</v>
      </c>
      <c r="AH33" s="19">
        <f t="shared" ref="AH33" si="25">AI33-1</f>
        <v>35</v>
      </c>
      <c r="AI33" s="19">
        <f t="shared" ref="AI33" si="26">AJ33-1</f>
        <v>36</v>
      </c>
      <c r="AJ33" s="19">
        <f t="shared" ref="AJ33" si="27">AK33-1</f>
        <v>37</v>
      </c>
      <c r="AK33" s="19">
        <f t="shared" ref="AK33" si="28">AL33-1</f>
        <v>38</v>
      </c>
      <c r="AL33" s="19">
        <f t="shared" ref="AL33" si="29">AM33-1</f>
        <v>39</v>
      </c>
      <c r="AM33" s="19">
        <f t="shared" ref="AM33" si="30">AN33-1</f>
        <v>40</v>
      </c>
      <c r="AN33" s="19">
        <f t="shared" ref="AN33" si="31">AO33-1</f>
        <v>41</v>
      </c>
      <c r="AO33" s="19">
        <f t="shared" ref="AO33" si="32">AP33-1</f>
        <v>42</v>
      </c>
      <c r="AP33" s="19">
        <f t="shared" ref="AP33" si="33">AQ33-1</f>
        <v>43</v>
      </c>
      <c r="AQ33" s="19">
        <f t="shared" ref="AQ33" si="34">AR33-1</f>
        <v>44</v>
      </c>
      <c r="AR33" s="19">
        <f t="shared" ref="AR33" si="35">AS33-1</f>
        <v>45</v>
      </c>
      <c r="AS33" s="19">
        <f t="shared" ref="AS33" si="36">AT33-1</f>
        <v>46</v>
      </c>
      <c r="AT33" s="19">
        <f>AU33-1</f>
        <v>47</v>
      </c>
      <c r="AU33" s="19">
        <f>VLOOKUP(AU34,Dates!$A:$D,2,FALSE)</f>
        <v>48</v>
      </c>
    </row>
    <row r="34" spans="1:47" x14ac:dyDescent="0.35">
      <c r="A34" s="3"/>
      <c r="B34" s="3"/>
      <c r="C34" s="3"/>
      <c r="D34" s="3"/>
      <c r="E34" s="3"/>
      <c r="F34" s="3"/>
      <c r="G34" s="3"/>
      <c r="H34" s="3"/>
      <c r="I34" s="3"/>
      <c r="J34" s="3"/>
      <c r="K34" s="3"/>
      <c r="L34" s="3"/>
      <c r="M34" s="3"/>
      <c r="N34" s="3"/>
      <c r="O34" s="3"/>
      <c r="P34" s="3"/>
      <c r="Q34" s="3"/>
      <c r="R34" s="3"/>
      <c r="S34" s="3"/>
      <c r="T34" s="3"/>
      <c r="U34" s="3"/>
      <c r="V34" s="3"/>
      <c r="W34" s="3"/>
      <c r="AB34" s="19" t="str">
        <f>IFERROR(VLOOKUP(AB33,Dates!$B:$D,3,FALSE),"")</f>
        <v>1Q19</v>
      </c>
      <c r="AC34" s="19" t="str">
        <f>IFERROR(VLOOKUP(AC33,Dates!$B:$D,3,FALSE),"")</f>
        <v>2Q19</v>
      </c>
      <c r="AD34" s="19" t="str">
        <f>IFERROR(VLOOKUP(AD33,Dates!$B:$D,3,FALSE),"")</f>
        <v>3Q19</v>
      </c>
      <c r="AE34" s="19" t="str">
        <f>IFERROR(VLOOKUP(AE33,Dates!$B:$D,3,FALSE),"")</f>
        <v>4Q19</v>
      </c>
      <c r="AF34" s="19" t="str">
        <f>IFERROR(VLOOKUP(AF33,Dates!$B:$D,3,FALSE),"")</f>
        <v>1Q20</v>
      </c>
      <c r="AG34" s="19" t="str">
        <f>IFERROR(VLOOKUP(AG33,Dates!$B:$D,3,FALSE),"")</f>
        <v>2Q20</v>
      </c>
      <c r="AH34" s="19" t="str">
        <f>IFERROR(VLOOKUP(AH33,Dates!$B:$D,3,FALSE),"")</f>
        <v>3Q20</v>
      </c>
      <c r="AI34" s="19" t="str">
        <f>IFERROR(VLOOKUP(AI33,Dates!$B:$D,3,FALSE),"")</f>
        <v>4Q20</v>
      </c>
      <c r="AJ34" s="19" t="str">
        <f>IFERROR(VLOOKUP(AJ33,Dates!$B:$D,3,FALSE),"")</f>
        <v>1Q21</v>
      </c>
      <c r="AK34" s="19" t="str">
        <f>IFERROR(VLOOKUP(AK33,Dates!$B:$D,3,FALSE),"")</f>
        <v>2Q21</v>
      </c>
      <c r="AL34" s="19" t="str">
        <f>IFERROR(VLOOKUP(AL33,Dates!$B:$D,3,FALSE),"")</f>
        <v>3Q21</v>
      </c>
      <c r="AM34" s="19" t="str">
        <f>IFERROR(VLOOKUP(AM33,Dates!$B:$D,3,FALSE),"")</f>
        <v>4Q21</v>
      </c>
      <c r="AN34" s="19" t="str">
        <f>IFERROR(VLOOKUP(AN33,Dates!$B:$D,3,FALSE),"")</f>
        <v>1Q22</v>
      </c>
      <c r="AO34" s="19" t="str">
        <f>IFERROR(VLOOKUP(AO33,Dates!$B:$D,3,FALSE),"")</f>
        <v>2Q22</v>
      </c>
      <c r="AP34" s="19" t="str">
        <f>IFERROR(VLOOKUP(AP33,Dates!$B:$D,3,FALSE),"")</f>
        <v>3Q22</v>
      </c>
      <c r="AQ34" s="19" t="str">
        <f>IFERROR(VLOOKUP(AQ33,Dates!$B:$D,3,FALSE),"")</f>
        <v>4Q22</v>
      </c>
      <c r="AR34" s="19" t="str">
        <f>IFERROR(VLOOKUP(AR33,Dates!$B:$D,3,FALSE),"")</f>
        <v>1Q23</v>
      </c>
      <c r="AS34" s="19" t="str">
        <f>IFERROR(VLOOKUP(AS33,Dates!$B:$D,3,FALSE),"")</f>
        <v>2Q23</v>
      </c>
      <c r="AT34" s="19" t="str">
        <f>IFERROR(VLOOKUP(AT33,Dates!$B:$D,3,FALSE),"")</f>
        <v>3Q23</v>
      </c>
      <c r="AU34" s="20" t="str">
        <f>$G$3</f>
        <v>4Q23</v>
      </c>
    </row>
    <row r="35" spans="1:47" x14ac:dyDescent="0.35">
      <c r="A35" s="3"/>
      <c r="B35" s="3"/>
      <c r="C35" s="3"/>
      <c r="D35" s="3"/>
      <c r="E35" s="3"/>
      <c r="F35" s="3"/>
      <c r="G35" s="3"/>
      <c r="H35" s="3"/>
      <c r="I35" s="3"/>
      <c r="J35" s="3"/>
      <c r="K35" s="3"/>
      <c r="L35" s="3"/>
      <c r="M35" s="3"/>
      <c r="N35" s="3"/>
      <c r="O35" s="3"/>
      <c r="P35" s="3"/>
      <c r="Q35" s="3"/>
      <c r="R35" s="3"/>
      <c r="S35" s="3"/>
      <c r="T35" s="3"/>
      <c r="U35" s="3"/>
      <c r="V35" s="3"/>
      <c r="W35" s="3"/>
      <c r="AA35" s="21" t="str">
        <f>'Reported Group Highlights'!A72</f>
        <v>Group Service Revenue Growth (Ex-IC) QoQ</v>
      </c>
      <c r="AB35" s="23">
        <f>IFERROR(INDEX('Reported Group Highlights'!$A:$AAW,MATCH($AA35,'Reported Group Highlights'!$A:$A,0),MATCH(AB34,'Reported Group Highlights'!$1:$1,0)),"")</f>
        <v>1.3732623435463553E-2</v>
      </c>
      <c r="AC35" s="23">
        <f>IFERROR(INDEX('Reported Group Highlights'!$A:$AAW,MATCH($AA35,'Reported Group Highlights'!$A:$A,0),MATCH(AC34,'Reported Group Highlights'!$1:$1,0)),"")</f>
        <v>5.2748910687749673E-2</v>
      </c>
      <c r="AD35" s="23">
        <f>IFERROR(INDEX('Reported Group Highlights'!$A:$AAW,MATCH($AA35,'Reported Group Highlights'!$A:$A,0),MATCH(AD34,'Reported Group Highlights'!$1:$1,0)),"")</f>
        <v>4.1356808462691186E-2</v>
      </c>
      <c r="AE35" s="23">
        <f>IFERROR(INDEX('Reported Group Highlights'!$A:$AAW,MATCH($AA35,'Reported Group Highlights'!$A:$A,0),MATCH(AE34,'Reported Group Highlights'!$1:$1,0)),"")</f>
        <v>-7.4265370838475508E-3</v>
      </c>
      <c r="AF35" s="23">
        <f>IFERROR(INDEX('Reported Group Highlights'!$A:$AAW,MATCH($AA35,'Reported Group Highlights'!$A:$A,0),MATCH(AF34,'Reported Group Highlights'!$1:$1,0)),"")</f>
        <v>1.921688597983251E-2</v>
      </c>
      <c r="AG35" s="23">
        <f>IFERROR(INDEX('Reported Group Highlights'!$A:$AAW,MATCH($AA35,'Reported Group Highlights'!$A:$A,0),MATCH(AG34,'Reported Group Highlights'!$1:$1,0)),"")</f>
        <v>2.8636831106170213E-2</v>
      </c>
      <c r="AH35" s="23">
        <f>IFERROR(INDEX('Reported Group Highlights'!$A:$AAW,MATCH($AA35,'Reported Group Highlights'!$A:$A,0),MATCH(AH34,'Reported Group Highlights'!$1:$1,0)),"")</f>
        <v>-4.8841107964903152E-3</v>
      </c>
      <c r="AI35" s="23">
        <f>IFERROR(INDEX('Reported Group Highlights'!$A:$AAW,MATCH($AA35,'Reported Group Highlights'!$A:$A,0),MATCH(AI34,'Reported Group Highlights'!$1:$1,0)),"")</f>
        <v>-4.4192582225423438E-2</v>
      </c>
      <c r="AJ35" s="23">
        <f>IFERROR(INDEX('Reported Group Highlights'!$A:$AAW,MATCH($AA35,'Reported Group Highlights'!$A:$A,0),MATCH(AJ34,'Reported Group Highlights'!$1:$1,0)),"")</f>
        <v>-1.52704499124513E-2</v>
      </c>
      <c r="AK35" s="23">
        <f>IFERROR(INDEX('Reported Group Highlights'!$A:$AAW,MATCH($AA35,'Reported Group Highlights'!$A:$A,0),MATCH(AK34,'Reported Group Highlights'!$1:$1,0)),"")</f>
        <v>8.5014038755604648E-2</v>
      </c>
      <c r="AL35" s="23">
        <f>IFERROR(INDEX('Reported Group Highlights'!$A:$AAW,MATCH($AA35,'Reported Group Highlights'!$A:$A,0),MATCH(AL34,'Reported Group Highlights'!$1:$1,0)),"")</f>
        <v>9.5922127189220774E-3</v>
      </c>
      <c r="AM35" s="23">
        <f>IFERROR(INDEX('Reported Group Highlights'!$A:$AAW,MATCH($AA35,'Reported Group Highlights'!$A:$A,0),MATCH(AM34,'Reported Group Highlights'!$1:$1,0)),"")</f>
        <v>9.4316736405897217E-3</v>
      </c>
      <c r="AN35" s="23">
        <f>IFERROR(INDEX('Reported Group Highlights'!$A:$AAW,MATCH($AA35,'Reported Group Highlights'!$A:$A,0),MATCH(AN34,'Reported Group Highlights'!$1:$1,0)),"")</f>
        <v>1.2866266860616093E-2</v>
      </c>
      <c r="AO35" s="23">
        <f>IFERROR(INDEX('Reported Group Highlights'!$A:$AAW,MATCH($AA35,'Reported Group Highlights'!$A:$A,0),MATCH(AO34,'Reported Group Highlights'!$1:$1,0)),"")</f>
        <v>6.692330786051448E-2</v>
      </c>
      <c r="AP35" s="23">
        <f>IFERROR(INDEX('Reported Group Highlights'!$A:$AAW,MATCH($AA35,'Reported Group Highlights'!$A:$A,0),MATCH(AP34,'Reported Group Highlights'!$1:$1,0)),"")</f>
        <v>2.7576822998567785E-2</v>
      </c>
      <c r="AQ35" s="23">
        <f>IFERROR(INDEX('Reported Group Highlights'!$A:$AAW,MATCH($AA35,'Reported Group Highlights'!$A:$A,0),MATCH(AQ34,'Reported Group Highlights'!$1:$1,0)),"")</f>
        <v>2.7789125060913022E-2</v>
      </c>
      <c r="AR35" s="23">
        <f>IFERROR(INDEX('Reported Group Highlights'!$A:$AAW,MATCH($AA35,'Reported Group Highlights'!$A:$A,0),MATCH(AR34,'Reported Group Highlights'!$1:$1,0)),"")</f>
        <v>-1.1722454661743376E-3</v>
      </c>
      <c r="AS35" s="23">
        <f>IFERROR(INDEX('Reported Group Highlights'!$A:$AAW,MATCH($AA35,'Reported Group Highlights'!$A:$A,0),MATCH(AS34,'Reported Group Highlights'!$1:$1,0)),"")</f>
        <v>8.0883228798982021E-2</v>
      </c>
      <c r="AT35" s="23">
        <f>IFERROR(INDEX('Reported Group Highlights'!$A:$AAW,MATCH($AA35,'Reported Group Highlights'!$A:$A,0),MATCH(AT34,'Reported Group Highlights'!$1:$1,0)),"")</f>
        <v>-2.6265109806146492E-2</v>
      </c>
      <c r="AU35" s="23">
        <f>IFERROR(INDEX('Reported Group Highlights'!$A:$AAW,MATCH($AA35,'Reported Group Highlights'!$A:$A,0),MATCH(AU34,'Reported Group Highlights'!$1:$1,0)),"")</f>
        <v>4.8156044348184768E-2</v>
      </c>
    </row>
    <row r="36" spans="1:47" x14ac:dyDescent="0.35">
      <c r="A36" s="3"/>
      <c r="B36" s="3"/>
      <c r="C36" s="3"/>
      <c r="D36" s="3"/>
      <c r="E36" s="3"/>
      <c r="F36" s="3"/>
      <c r="G36" s="3"/>
      <c r="H36" s="3"/>
      <c r="I36" s="3"/>
      <c r="J36" s="3"/>
      <c r="K36" s="3"/>
      <c r="L36" s="3"/>
      <c r="M36" s="3"/>
      <c r="N36" s="3"/>
      <c r="O36" s="3"/>
      <c r="P36" s="3"/>
      <c r="Q36" s="3"/>
      <c r="R36" s="3"/>
      <c r="S36" s="3"/>
      <c r="T36" s="3"/>
      <c r="U36" s="3"/>
      <c r="V36" s="3"/>
      <c r="W36" s="3"/>
    </row>
    <row r="37" spans="1:47" x14ac:dyDescent="0.35">
      <c r="A37" s="3"/>
      <c r="B37" s="3"/>
      <c r="C37" s="3"/>
      <c r="D37" s="3"/>
      <c r="E37" s="3"/>
      <c r="F37" s="3"/>
      <c r="G37" s="3"/>
      <c r="H37" s="3"/>
      <c r="I37" s="3"/>
      <c r="J37" s="3"/>
      <c r="K37" s="3"/>
      <c r="L37" s="3"/>
      <c r="M37" s="3"/>
      <c r="N37" s="3"/>
      <c r="O37" s="3"/>
      <c r="P37" s="3"/>
      <c r="Q37" s="3"/>
      <c r="R37" s="3"/>
      <c r="S37" s="3"/>
      <c r="T37" s="3"/>
      <c r="U37" s="3"/>
      <c r="V37" s="3"/>
      <c r="W37" s="3"/>
    </row>
    <row r="38" spans="1:47" x14ac:dyDescent="0.35">
      <c r="A38" s="3"/>
      <c r="B38" s="3"/>
      <c r="C38" s="3"/>
      <c r="D38" s="3"/>
      <c r="E38" s="3"/>
      <c r="F38" s="3"/>
      <c r="G38" s="3"/>
      <c r="H38" s="3"/>
      <c r="I38" s="3"/>
      <c r="J38" s="3"/>
      <c r="K38" s="3"/>
      <c r="L38" s="3"/>
      <c r="M38" s="3"/>
      <c r="N38" s="3"/>
      <c r="O38" s="3"/>
      <c r="P38" s="3"/>
      <c r="Q38" s="3"/>
      <c r="R38" s="3"/>
      <c r="S38" s="3"/>
      <c r="T38" s="3"/>
      <c r="U38" s="3"/>
      <c r="V38" s="3"/>
      <c r="W38" s="3"/>
    </row>
    <row r="39" spans="1:47" x14ac:dyDescent="0.35">
      <c r="A39" s="3"/>
      <c r="B39" s="3"/>
      <c r="C39" s="3"/>
      <c r="D39" s="3"/>
      <c r="E39" s="3"/>
      <c r="F39" s="3"/>
      <c r="G39" s="3"/>
      <c r="H39" s="3"/>
      <c r="I39" s="3"/>
      <c r="J39" s="3"/>
      <c r="K39" s="3"/>
      <c r="L39" s="3"/>
      <c r="M39" s="3"/>
      <c r="N39" s="3"/>
      <c r="O39" s="3"/>
      <c r="P39" s="3"/>
      <c r="Q39" s="3"/>
      <c r="R39" s="3"/>
      <c r="S39" s="3"/>
      <c r="T39" s="3"/>
      <c r="U39" s="3"/>
      <c r="V39" s="3"/>
      <c r="W39" s="3"/>
    </row>
    <row r="40" spans="1:47" x14ac:dyDescent="0.35">
      <c r="A40" s="3"/>
      <c r="B40" s="3"/>
      <c r="C40" s="3"/>
      <c r="D40" s="3"/>
      <c r="E40" s="3"/>
      <c r="F40" s="3"/>
      <c r="G40" s="3"/>
      <c r="H40" s="3"/>
      <c r="I40" s="3"/>
      <c r="J40" s="3"/>
      <c r="K40" s="3"/>
      <c r="L40" s="3"/>
      <c r="M40" s="3"/>
      <c r="N40" s="3"/>
      <c r="O40" s="3"/>
      <c r="P40" s="3"/>
      <c r="Q40" s="3"/>
      <c r="R40" s="3"/>
      <c r="S40" s="3"/>
      <c r="T40" s="3"/>
      <c r="U40" s="3"/>
      <c r="V40" s="3"/>
      <c r="W40" s="3"/>
    </row>
    <row r="41" spans="1:47" x14ac:dyDescent="0.35">
      <c r="A41" s="3"/>
      <c r="B41" s="3"/>
      <c r="C41" s="3"/>
      <c r="D41" s="3"/>
      <c r="E41" s="3"/>
      <c r="F41" s="3"/>
      <c r="G41" s="3"/>
      <c r="H41" s="3"/>
      <c r="I41" s="3"/>
      <c r="J41" s="3"/>
      <c r="K41" s="3"/>
      <c r="L41" s="3"/>
      <c r="M41" s="3"/>
      <c r="N41" s="3"/>
      <c r="O41" s="3"/>
      <c r="P41" s="3"/>
      <c r="Q41" s="3"/>
      <c r="R41" s="3"/>
      <c r="S41" s="3"/>
      <c r="T41" s="3"/>
      <c r="U41" s="3"/>
      <c r="V41" s="3"/>
      <c r="W41" s="3"/>
    </row>
    <row r="42" spans="1:47" x14ac:dyDescent="0.35">
      <c r="A42" s="3"/>
      <c r="B42" s="3"/>
      <c r="C42" s="3"/>
      <c r="D42" s="3"/>
      <c r="E42" s="3"/>
      <c r="F42" s="3"/>
      <c r="G42" s="3"/>
      <c r="H42" s="3"/>
      <c r="I42" s="3"/>
      <c r="J42" s="3"/>
      <c r="K42" s="3"/>
      <c r="L42" s="3"/>
      <c r="M42" s="3"/>
      <c r="N42" s="3"/>
      <c r="O42" s="3"/>
      <c r="P42" s="3"/>
      <c r="Q42" s="3"/>
      <c r="R42" s="3"/>
      <c r="S42" s="3"/>
      <c r="T42" s="3"/>
      <c r="U42" s="3"/>
      <c r="V42" s="3"/>
      <c r="W42" s="3"/>
    </row>
    <row r="43" spans="1:47" x14ac:dyDescent="0.35">
      <c r="A43" s="3"/>
      <c r="B43" s="3"/>
      <c r="C43" s="3"/>
      <c r="D43" s="3"/>
      <c r="E43" s="3"/>
      <c r="F43" s="3"/>
      <c r="G43" s="3"/>
      <c r="H43" s="3"/>
      <c r="I43" s="3"/>
      <c r="J43" s="3"/>
      <c r="K43" s="3"/>
      <c r="L43" s="3"/>
      <c r="M43" s="3"/>
      <c r="N43" s="3"/>
      <c r="O43" s="3"/>
      <c r="P43" s="3"/>
      <c r="Q43" s="3"/>
      <c r="R43" s="3"/>
      <c r="S43" s="3"/>
      <c r="T43" s="3"/>
      <c r="U43" s="3"/>
      <c r="V43" s="3"/>
      <c r="W43" s="3"/>
    </row>
    <row r="44" spans="1:47" x14ac:dyDescent="0.35">
      <c r="A44" s="3"/>
      <c r="B44" s="3"/>
      <c r="C44" s="3"/>
      <c r="D44" s="3"/>
      <c r="E44" s="3"/>
      <c r="F44" s="3"/>
      <c r="G44" s="3"/>
      <c r="H44" s="3"/>
      <c r="I44" s="3"/>
      <c r="J44" s="3"/>
      <c r="K44" s="3"/>
      <c r="L44" s="3"/>
      <c r="M44" s="3"/>
      <c r="N44" s="3"/>
      <c r="O44" s="3"/>
      <c r="P44" s="3"/>
      <c r="Q44" s="3"/>
      <c r="R44" s="3"/>
      <c r="S44" s="3"/>
      <c r="T44" s="3"/>
      <c r="U44" s="3"/>
      <c r="V44" s="3"/>
      <c r="W44" s="3"/>
    </row>
    <row r="45" spans="1:47" x14ac:dyDescent="0.35">
      <c r="A45" s="3"/>
      <c r="B45" s="3"/>
      <c r="C45" s="3"/>
      <c r="D45" s="3"/>
      <c r="E45" s="3"/>
      <c r="F45" s="3"/>
      <c r="G45" s="3"/>
      <c r="H45" s="3"/>
      <c r="I45" s="3"/>
      <c r="J45" s="3"/>
      <c r="K45" s="3"/>
      <c r="L45" s="3"/>
      <c r="M45" s="3"/>
      <c r="N45" s="3"/>
      <c r="O45" s="3"/>
      <c r="P45" s="3"/>
      <c r="Q45" s="3"/>
      <c r="R45" s="3"/>
      <c r="S45" s="3"/>
      <c r="T45" s="3"/>
      <c r="U45" s="3"/>
      <c r="V45" s="3"/>
      <c r="W45" s="3"/>
    </row>
    <row r="46" spans="1:47" x14ac:dyDescent="0.35">
      <c r="A46" s="3"/>
      <c r="B46" s="3"/>
      <c r="C46" s="3"/>
      <c r="D46" s="3"/>
      <c r="E46" s="3"/>
      <c r="F46" s="3"/>
      <c r="G46" s="3"/>
      <c r="H46" s="3"/>
      <c r="I46" s="3"/>
      <c r="J46" s="3"/>
      <c r="K46" s="3"/>
      <c r="L46" s="3"/>
      <c r="M46" s="3"/>
      <c r="N46" s="3"/>
      <c r="O46" s="3"/>
      <c r="P46" s="3"/>
      <c r="Q46" s="3"/>
      <c r="R46" s="3"/>
      <c r="S46" s="3"/>
      <c r="T46" s="3"/>
      <c r="U46" s="3"/>
      <c r="V46" s="3"/>
      <c r="W46" s="3"/>
    </row>
    <row r="47" spans="1:47" x14ac:dyDescent="0.35">
      <c r="A47" s="3"/>
      <c r="B47" s="3"/>
      <c r="C47" s="3"/>
      <c r="D47" s="3"/>
      <c r="E47" s="3"/>
      <c r="F47" s="3"/>
      <c r="G47" s="3"/>
      <c r="H47" s="3"/>
      <c r="I47" s="3"/>
      <c r="J47" s="3"/>
      <c r="K47" s="3"/>
      <c r="L47" s="3"/>
      <c r="M47" s="3"/>
      <c r="N47" s="3"/>
      <c r="O47" s="3"/>
      <c r="P47" s="3"/>
      <c r="Q47" s="3"/>
      <c r="R47" s="3"/>
      <c r="S47" s="3"/>
      <c r="T47" s="3"/>
      <c r="U47" s="3"/>
      <c r="V47" s="3"/>
      <c r="W47" s="3"/>
    </row>
    <row r="48" spans="1:47" x14ac:dyDescent="0.35">
      <c r="A48" s="1" t="s">
        <v>29</v>
      </c>
      <c r="B48" s="1" t="s">
        <v>128</v>
      </c>
      <c r="C48" s="1"/>
      <c r="D48" s="1"/>
      <c r="E48" s="1"/>
      <c r="F48" s="1"/>
      <c r="G48" s="1"/>
      <c r="H48" s="1"/>
      <c r="I48" s="1"/>
      <c r="J48" s="1"/>
      <c r="K48" s="1" t="s">
        <v>30</v>
      </c>
      <c r="L48" s="1" t="s">
        <v>173</v>
      </c>
      <c r="M48" s="1"/>
      <c r="N48" s="1"/>
      <c r="O48" s="1"/>
      <c r="P48" s="1"/>
      <c r="Q48" s="1"/>
      <c r="R48" s="1"/>
      <c r="S48" s="1"/>
      <c r="T48" s="1"/>
      <c r="U48" s="3"/>
      <c r="V48" s="3"/>
      <c r="W48" s="3"/>
    </row>
    <row r="49" spans="1:47" x14ac:dyDescent="0.35">
      <c r="A49" s="3"/>
      <c r="B49" s="3"/>
      <c r="C49" s="3"/>
      <c r="D49" s="3"/>
      <c r="E49" s="3"/>
      <c r="F49" s="3"/>
      <c r="G49" s="3"/>
      <c r="H49" s="3"/>
      <c r="I49" s="3"/>
      <c r="J49" s="3"/>
      <c r="K49" s="3"/>
      <c r="L49" s="3"/>
      <c r="M49" s="3"/>
      <c r="N49" s="3"/>
      <c r="O49" s="3"/>
      <c r="P49" s="3"/>
      <c r="Q49" s="3"/>
      <c r="R49" s="3"/>
      <c r="S49" s="3"/>
      <c r="T49" s="3"/>
      <c r="U49" s="3"/>
      <c r="V49" s="3"/>
      <c r="W49" s="3"/>
    </row>
    <row r="50" spans="1:47" x14ac:dyDescent="0.35">
      <c r="A50" s="3"/>
      <c r="B50" s="3"/>
      <c r="C50" s="3"/>
      <c r="D50" s="3"/>
      <c r="E50" s="3"/>
      <c r="F50" s="3"/>
      <c r="G50" s="3"/>
      <c r="H50" s="3"/>
      <c r="I50" s="3"/>
      <c r="J50" s="3"/>
      <c r="K50" s="3"/>
      <c r="L50" s="3"/>
      <c r="M50" s="3"/>
      <c r="N50" s="3"/>
      <c r="O50" s="3"/>
      <c r="P50" s="3"/>
      <c r="Q50" s="3"/>
      <c r="R50" s="3"/>
      <c r="S50" s="3"/>
      <c r="T50" s="3"/>
      <c r="U50" s="3"/>
      <c r="V50" s="3"/>
      <c r="W50" s="3"/>
      <c r="AB50" s="19">
        <f t="shared" ref="AB50:AR50" si="37">AC50-1</f>
        <v>29</v>
      </c>
      <c r="AC50" s="19">
        <f t="shared" si="37"/>
        <v>30</v>
      </c>
      <c r="AD50" s="19">
        <f t="shared" si="37"/>
        <v>31</v>
      </c>
      <c r="AE50" s="19">
        <f t="shared" si="37"/>
        <v>32</v>
      </c>
      <c r="AF50" s="19">
        <f t="shared" si="37"/>
        <v>33</v>
      </c>
      <c r="AG50" s="19">
        <f t="shared" si="37"/>
        <v>34</v>
      </c>
      <c r="AH50" s="19">
        <f t="shared" si="37"/>
        <v>35</v>
      </c>
      <c r="AI50" s="19">
        <f t="shared" si="37"/>
        <v>36</v>
      </c>
      <c r="AJ50" s="19">
        <f t="shared" si="37"/>
        <v>37</v>
      </c>
      <c r="AK50" s="19">
        <f t="shared" si="37"/>
        <v>38</v>
      </c>
      <c r="AL50" s="19">
        <f t="shared" si="37"/>
        <v>39</v>
      </c>
      <c r="AM50" s="19">
        <f t="shared" si="37"/>
        <v>40</v>
      </c>
      <c r="AN50" s="19">
        <f t="shared" si="37"/>
        <v>41</v>
      </c>
      <c r="AO50" s="19">
        <f t="shared" si="37"/>
        <v>42</v>
      </c>
      <c r="AP50" s="19">
        <f t="shared" si="37"/>
        <v>43</v>
      </c>
      <c r="AQ50" s="19">
        <f t="shared" si="37"/>
        <v>44</v>
      </c>
      <c r="AR50" s="19">
        <f t="shared" si="37"/>
        <v>45</v>
      </c>
      <c r="AS50" s="19">
        <f t="shared" ref="AS50" si="38">AT50-1</f>
        <v>46</v>
      </c>
      <c r="AT50" s="19">
        <f>AU50-1</f>
        <v>47</v>
      </c>
      <c r="AU50" s="19">
        <f>VLOOKUP(AU51,Dates!$A:$D,2,FALSE)</f>
        <v>48</v>
      </c>
    </row>
    <row r="51" spans="1:47" x14ac:dyDescent="0.35">
      <c r="A51" s="3"/>
      <c r="B51" s="3"/>
      <c r="C51" s="3"/>
      <c r="D51" s="3"/>
      <c r="E51" s="3"/>
      <c r="F51" s="3"/>
      <c r="G51" s="3"/>
      <c r="H51" s="3"/>
      <c r="I51" s="3"/>
      <c r="J51" s="3"/>
      <c r="K51" s="3"/>
      <c r="L51" s="3"/>
      <c r="M51" s="3"/>
      <c r="N51" s="3"/>
      <c r="O51" s="3"/>
      <c r="P51" s="3"/>
      <c r="Q51" s="3"/>
      <c r="R51" s="3"/>
      <c r="S51" s="3"/>
      <c r="T51" s="3"/>
      <c r="U51" s="3"/>
      <c r="V51" s="3"/>
      <c r="W51" s="3"/>
      <c r="AB51" s="19" t="str">
        <f>IFERROR(VLOOKUP(AB50,Dates!$B:$D,3,FALSE),"")</f>
        <v>1Q19</v>
      </c>
      <c r="AC51" s="19" t="str">
        <f>IFERROR(VLOOKUP(AC50,Dates!$B:$D,3,FALSE),"")</f>
        <v>2Q19</v>
      </c>
      <c r="AD51" s="19" t="str">
        <f>IFERROR(VLOOKUP(AD50,Dates!$B:$D,3,FALSE),"")</f>
        <v>3Q19</v>
      </c>
      <c r="AE51" s="19" t="str">
        <f>IFERROR(VLOOKUP(AE50,Dates!$B:$D,3,FALSE),"")</f>
        <v>4Q19</v>
      </c>
      <c r="AF51" s="19" t="str">
        <f>IFERROR(VLOOKUP(AF50,Dates!$B:$D,3,FALSE),"")</f>
        <v>1Q20</v>
      </c>
      <c r="AG51" s="19" t="str">
        <f>IFERROR(VLOOKUP(AG50,Dates!$B:$D,3,FALSE),"")</f>
        <v>2Q20</v>
      </c>
      <c r="AH51" s="19" t="str">
        <f>IFERROR(VLOOKUP(AH50,Dates!$B:$D,3,FALSE),"")</f>
        <v>3Q20</v>
      </c>
      <c r="AI51" s="19" t="str">
        <f>IFERROR(VLOOKUP(AI50,Dates!$B:$D,3,FALSE),"")</f>
        <v>4Q20</v>
      </c>
      <c r="AJ51" s="19" t="str">
        <f>IFERROR(VLOOKUP(AJ50,Dates!$B:$D,3,FALSE),"")</f>
        <v>1Q21</v>
      </c>
      <c r="AK51" s="19" t="str">
        <f>IFERROR(VLOOKUP(AK50,Dates!$B:$D,3,FALSE),"")</f>
        <v>2Q21</v>
      </c>
      <c r="AL51" s="19" t="str">
        <f>IFERROR(VLOOKUP(AL50,Dates!$B:$D,3,FALSE),"")</f>
        <v>3Q21</v>
      </c>
      <c r="AM51" s="19" t="str">
        <f>IFERROR(VLOOKUP(AM50,Dates!$B:$D,3,FALSE),"")</f>
        <v>4Q21</v>
      </c>
      <c r="AN51" s="19" t="str">
        <f>IFERROR(VLOOKUP(AN50,Dates!$B:$D,3,FALSE),"")</f>
        <v>1Q22</v>
      </c>
      <c r="AO51" s="19" t="str">
        <f>IFERROR(VLOOKUP(AO50,Dates!$B:$D,3,FALSE),"")</f>
        <v>2Q22</v>
      </c>
      <c r="AP51" s="19" t="str">
        <f>IFERROR(VLOOKUP(AP50,Dates!$B:$D,3,FALSE),"")</f>
        <v>3Q22</v>
      </c>
      <c r="AQ51" s="19" t="str">
        <f>IFERROR(VLOOKUP(AQ50,Dates!$B:$D,3,FALSE),"")</f>
        <v>4Q22</v>
      </c>
      <c r="AR51" s="19" t="str">
        <f>IFERROR(VLOOKUP(AR50,Dates!$B:$D,3,FALSE),"")</f>
        <v>1Q23</v>
      </c>
      <c r="AS51" s="19" t="str">
        <f>IFERROR(VLOOKUP(AS50,Dates!$B:$D,3,FALSE),"")</f>
        <v>2Q23</v>
      </c>
      <c r="AT51" s="19" t="str">
        <f>IFERROR(VLOOKUP(AT50,Dates!$B:$D,3,FALSE),"")</f>
        <v>3Q23</v>
      </c>
      <c r="AU51" s="20" t="str">
        <f>$G$3</f>
        <v>4Q23</v>
      </c>
    </row>
    <row r="52" spans="1:47" x14ac:dyDescent="0.35">
      <c r="A52" s="3"/>
      <c r="B52" s="3"/>
      <c r="C52" s="3"/>
      <c r="D52" s="3"/>
      <c r="E52" s="3"/>
      <c r="F52" s="3"/>
      <c r="G52" s="3"/>
      <c r="H52" s="3"/>
      <c r="I52" s="3"/>
      <c r="J52" s="3"/>
      <c r="K52" s="3"/>
      <c r="L52" s="3"/>
      <c r="M52" s="3"/>
      <c r="N52" s="3"/>
      <c r="O52" s="3"/>
      <c r="P52" s="3"/>
      <c r="Q52" s="3"/>
      <c r="R52" s="3"/>
      <c r="S52" s="3"/>
      <c r="T52" s="3"/>
      <c r="U52" s="3"/>
      <c r="V52" s="3"/>
      <c r="W52" s="3"/>
      <c r="AA52" s="21" t="str">
        <f>'Reported Group Highlights'!A110</f>
        <v>Interconnect %</v>
      </c>
      <c r="AB52" s="23">
        <f>IFERROR(INDEX('Reported Group Highlights'!$A:$AAW,MATCH($AA52,'Reported Group Highlights'!$A:$A,0),MATCH(AB51,'Reported Group Highlights'!$1:$1,0)),"")</f>
        <v>7.4741621899898511E-2</v>
      </c>
      <c r="AC52" s="23">
        <f>IFERROR(INDEX('Reported Group Highlights'!$A:$AAW,MATCH($AA52,'Reported Group Highlights'!$A:$A,0),MATCH(AC51,'Reported Group Highlights'!$1:$1,0)),"")</f>
        <v>8.2040128116153563E-2</v>
      </c>
      <c r="AD52" s="23">
        <f>IFERROR(INDEX('Reported Group Highlights'!$A:$AAW,MATCH($AA52,'Reported Group Highlights'!$A:$A,0),MATCH(AD51,'Reported Group Highlights'!$1:$1,0)),"")</f>
        <v>7.6581607449487471E-2</v>
      </c>
      <c r="AE52" s="23">
        <f>IFERROR(INDEX('Reported Group Highlights'!$A:$AAW,MATCH($AA52,'Reported Group Highlights'!$A:$A,0),MATCH(AE51,'Reported Group Highlights'!$1:$1,0)),"")</f>
        <v>7.1424895474811803E-2</v>
      </c>
      <c r="AF52" s="23">
        <f>IFERROR(INDEX('Reported Group Highlights'!$A:$AAW,MATCH($AA52,'Reported Group Highlights'!$A:$A,0),MATCH(AF51,'Reported Group Highlights'!$1:$1,0)),"")</f>
        <v>6.6204556427886627E-2</v>
      </c>
      <c r="AG52" s="23">
        <f>IFERROR(INDEX('Reported Group Highlights'!$A:$AAW,MATCH($AA52,'Reported Group Highlights'!$A:$A,0),MATCH(AG51,'Reported Group Highlights'!$1:$1,0)),"")</f>
        <v>5.869361757895851E-2</v>
      </c>
      <c r="AH52" s="23">
        <f>IFERROR(INDEX('Reported Group Highlights'!$A:$AAW,MATCH($AA52,'Reported Group Highlights'!$A:$A,0),MATCH(AH51,'Reported Group Highlights'!$1:$1,0)),"")</f>
        <v>5.829061828651725E-2</v>
      </c>
      <c r="AI52" s="23">
        <f>IFERROR(INDEX('Reported Group Highlights'!$A:$AAW,MATCH($AA52,'Reported Group Highlights'!$A:$A,0),MATCH(AI51,'Reported Group Highlights'!$1:$1,0)),"")</f>
        <v>5.6808780307208741E-2</v>
      </c>
      <c r="AJ52" s="23">
        <f>IFERROR(INDEX('Reported Group Highlights'!$A:$AAW,MATCH($AA52,'Reported Group Highlights'!$A:$A,0),MATCH(AJ51,'Reported Group Highlights'!$1:$1,0)),"")</f>
        <v>5.4616803921910734E-2</v>
      </c>
      <c r="AK52" s="23">
        <f>IFERROR(INDEX('Reported Group Highlights'!$A:$AAW,MATCH($AA52,'Reported Group Highlights'!$A:$A,0),MATCH(AK51,'Reported Group Highlights'!$1:$1,0)),"")</f>
        <v>5.1907315712766001E-2</v>
      </c>
      <c r="AL52" s="23">
        <f>IFERROR(INDEX('Reported Group Highlights'!$A:$AAW,MATCH($AA52,'Reported Group Highlights'!$A:$A,0),MATCH(AL51,'Reported Group Highlights'!$1:$1,0)),"")</f>
        <v>4.9986712557907327E-2</v>
      </c>
      <c r="AM52" s="23">
        <f>IFERROR(INDEX('Reported Group Highlights'!$A:$AAW,MATCH($AA52,'Reported Group Highlights'!$A:$A,0),MATCH(AM51,'Reported Group Highlights'!$1:$1,0)),"")</f>
        <v>7.255930054356885E-2</v>
      </c>
      <c r="AN52" s="23">
        <f>IFERROR(INDEX('Reported Group Highlights'!$A:$AAW,MATCH($AA52,'Reported Group Highlights'!$A:$A,0),MATCH(AN51,'Reported Group Highlights'!$1:$1,0)),"")</f>
        <v>6.9143565786060318E-2</v>
      </c>
      <c r="AO52" s="23">
        <f>IFERROR(INDEX('Reported Group Highlights'!$A:$AAW,MATCH($AA52,'Reported Group Highlights'!$A:$A,0),MATCH(AO51,'Reported Group Highlights'!$1:$1,0)),"")</f>
        <v>9.2915868704485816E-2</v>
      </c>
      <c r="AP52" s="23">
        <f>IFERROR(INDEX('Reported Group Highlights'!$A:$AAW,MATCH($AA52,'Reported Group Highlights'!$A:$A,0),MATCH(AP51,'Reported Group Highlights'!$1:$1,0)),"")</f>
        <v>0.1157035342924766</v>
      </c>
      <c r="AQ52" s="23">
        <f>IFERROR(INDEX('Reported Group Highlights'!$A:$AAW,MATCH($AA52,'Reported Group Highlights'!$A:$A,0),MATCH(AQ51,'Reported Group Highlights'!$1:$1,0)),"")</f>
        <v>0.11380220003885198</v>
      </c>
      <c r="AR52" s="23">
        <f>IFERROR(INDEX('Reported Group Highlights'!$A:$AAW,MATCH($AA52,'Reported Group Highlights'!$A:$A,0),MATCH(AR51,'Reported Group Highlights'!$1:$1,0)),"")</f>
        <v>8.5971663598912673E-2</v>
      </c>
      <c r="AS52" s="23">
        <f>IFERROR(INDEX('Reported Group Highlights'!$A:$AAW,MATCH($AA52,'Reported Group Highlights'!$A:$A,0),MATCH(AS51,'Reported Group Highlights'!$1:$1,0)),"")</f>
        <v>0.10802702574099726</v>
      </c>
      <c r="AT52" s="23">
        <f>IFERROR(INDEX('Reported Group Highlights'!$A:$AAW,MATCH($AA52,'Reported Group Highlights'!$A:$A,0),MATCH(AT51,'Reported Group Highlights'!$1:$1,0)),"")</f>
        <v>9.6706061017042863E-2</v>
      </c>
      <c r="AU52" s="23">
        <f>IFERROR(INDEX('Reported Group Highlights'!$A:$AAW,MATCH($AA52,'Reported Group Highlights'!$A:$A,0),MATCH(AU51,'Reported Group Highlights'!$1:$1,0)),"")</f>
        <v>0.10077627661387599</v>
      </c>
    </row>
    <row r="53" spans="1:47" x14ac:dyDescent="0.35">
      <c r="A53" s="3"/>
      <c r="B53" s="3"/>
      <c r="C53" s="3"/>
      <c r="D53" s="3"/>
      <c r="E53" s="3"/>
      <c r="F53" s="3"/>
      <c r="G53" s="3"/>
      <c r="H53" s="3"/>
      <c r="I53" s="3"/>
      <c r="J53" s="3"/>
      <c r="K53" s="3"/>
      <c r="L53" s="3"/>
      <c r="M53" s="3"/>
      <c r="N53" s="3"/>
      <c r="O53" s="3"/>
      <c r="P53" s="3"/>
      <c r="Q53" s="3"/>
      <c r="R53" s="3"/>
      <c r="S53" s="3"/>
      <c r="T53" s="3"/>
      <c r="U53" s="3"/>
      <c r="V53" s="3"/>
      <c r="W53" s="3"/>
      <c r="AA53" s="21" t="str">
        <f>'Reported Group Highlights'!A111</f>
        <v>Salaries and Benefits %</v>
      </c>
      <c r="AB53" s="23">
        <f>IFERROR(INDEX('Reported Group Highlights'!$A:$AAW,MATCH($AA53,'Reported Group Highlights'!$A:$A,0),MATCH(AB51,'Reported Group Highlights'!$1:$1,0)),"")</f>
        <v>5.0442215676837335E-2</v>
      </c>
      <c r="AC53" s="23">
        <f>IFERROR(INDEX('Reported Group Highlights'!$A:$AAW,MATCH($AA53,'Reported Group Highlights'!$A:$A,0),MATCH(AC51,'Reported Group Highlights'!$1:$1,0)),"")</f>
        <v>5.1354576320770548E-2</v>
      </c>
      <c r="AD53" s="23">
        <f>IFERROR(INDEX('Reported Group Highlights'!$A:$AAW,MATCH($AA53,'Reported Group Highlights'!$A:$A,0),MATCH(AD51,'Reported Group Highlights'!$1:$1,0)),"")</f>
        <v>5.1054404966324976E-2</v>
      </c>
      <c r="AE53" s="23">
        <f>IFERROR(INDEX('Reported Group Highlights'!$A:$AAW,MATCH($AA53,'Reported Group Highlights'!$A:$A,0),MATCH(AE51,'Reported Group Highlights'!$1:$1,0)),"")</f>
        <v>5.0683604867497463E-2</v>
      </c>
      <c r="AF53" s="23">
        <f>IFERROR(INDEX('Reported Group Highlights'!$A:$AAW,MATCH($AA53,'Reported Group Highlights'!$A:$A,0),MATCH(AF51,'Reported Group Highlights'!$1:$1,0)),"")</f>
        <v>4.7251479917890166E-2</v>
      </c>
      <c r="AG53" s="23">
        <f>IFERROR(INDEX('Reported Group Highlights'!$A:$AAW,MATCH($AA53,'Reported Group Highlights'!$A:$A,0),MATCH(AG51,'Reported Group Highlights'!$1:$1,0)),"")</f>
        <v>4.6165464618195665E-2</v>
      </c>
      <c r="AH53" s="23">
        <f>IFERROR(INDEX('Reported Group Highlights'!$A:$AAW,MATCH($AA53,'Reported Group Highlights'!$A:$A,0),MATCH(AH51,'Reported Group Highlights'!$1:$1,0)),"")</f>
        <v>5.1906368597097255E-2</v>
      </c>
      <c r="AI53" s="23">
        <f>IFERROR(INDEX('Reported Group Highlights'!$A:$AAW,MATCH($AA53,'Reported Group Highlights'!$A:$A,0),MATCH(AI51,'Reported Group Highlights'!$1:$1,0)),"")</f>
        <v>5.0690199693244564E-2</v>
      </c>
      <c r="AJ53" s="23">
        <f>IFERROR(INDEX('Reported Group Highlights'!$A:$AAW,MATCH($AA53,'Reported Group Highlights'!$A:$A,0),MATCH(AJ51,'Reported Group Highlights'!$1:$1,0)),"")</f>
        <v>3.7660369663168283E-2</v>
      </c>
      <c r="AK53" s="23">
        <f>IFERROR(INDEX('Reported Group Highlights'!$A:$AAW,MATCH($AA53,'Reported Group Highlights'!$A:$A,0),MATCH(AK51,'Reported Group Highlights'!$1:$1,0)),"")</f>
        <v>5.0337335412963834E-2</v>
      </c>
      <c r="AL53" s="23">
        <f>IFERROR(INDEX('Reported Group Highlights'!$A:$AAW,MATCH($AA53,'Reported Group Highlights'!$A:$A,0),MATCH(AL51,'Reported Group Highlights'!$1:$1,0)),"")</f>
        <v>3.3702637300882479E-2</v>
      </c>
      <c r="AM53" s="23">
        <f>IFERROR(INDEX('Reported Group Highlights'!$A:$AAW,MATCH($AA53,'Reported Group Highlights'!$A:$A,0),MATCH(AM51,'Reported Group Highlights'!$1:$1,0)),"")</f>
        <v>3.9094562916666242E-2</v>
      </c>
      <c r="AN53" s="23">
        <f>IFERROR(INDEX('Reported Group Highlights'!$A:$AAW,MATCH($AA53,'Reported Group Highlights'!$A:$A,0),MATCH(AN51,'Reported Group Highlights'!$1:$1,0)),"")</f>
        <v>4.384788089217255E-2</v>
      </c>
      <c r="AO53" s="23">
        <f>IFERROR(INDEX('Reported Group Highlights'!$A:$AAW,MATCH($AA53,'Reported Group Highlights'!$A:$A,0),MATCH(AO51,'Reported Group Highlights'!$1:$1,0)),"")</f>
        <v>3.7113679591301539E-2</v>
      </c>
      <c r="AP53" s="23">
        <f>IFERROR(INDEX('Reported Group Highlights'!$A:$AAW,MATCH($AA53,'Reported Group Highlights'!$A:$A,0),MATCH(AP51,'Reported Group Highlights'!$1:$1,0)),"")</f>
        <v>4.3229529558811777E-2</v>
      </c>
      <c r="AQ53" s="23">
        <f>IFERROR(INDEX('Reported Group Highlights'!$A:$AAW,MATCH($AA53,'Reported Group Highlights'!$A:$A,0),MATCH(AQ51,'Reported Group Highlights'!$1:$1,0)),"")</f>
        <v>5.7330101500093968E-2</v>
      </c>
      <c r="AR53" s="23">
        <f>IFERROR(INDEX('Reported Group Highlights'!$A:$AAW,MATCH($AA53,'Reported Group Highlights'!$A:$A,0),MATCH(AR51,'Reported Group Highlights'!$1:$1,0)),"")</f>
        <v>4.3861771404010215E-2</v>
      </c>
      <c r="AS53" s="23">
        <f>IFERROR(INDEX('Reported Group Highlights'!$A:$AAW,MATCH($AA53,'Reported Group Highlights'!$A:$A,0),MATCH(AS51,'Reported Group Highlights'!$1:$1,0)),"")</f>
        <v>4.4830339471959003E-2</v>
      </c>
      <c r="AT53" s="23">
        <f>IFERROR(INDEX('Reported Group Highlights'!$A:$AAW,MATCH($AA53,'Reported Group Highlights'!$A:$A,0),MATCH(AT51,'Reported Group Highlights'!$1:$1,0)),"")</f>
        <v>4.4409070552567813E-2</v>
      </c>
      <c r="AU53" s="23">
        <f>IFERROR(INDEX('Reported Group Highlights'!$A:$AAW,MATCH($AA53,'Reported Group Highlights'!$A:$A,0),MATCH(AU51,'Reported Group Highlights'!$1:$1,0)),"")</f>
        <v>4.05641876192437E-2</v>
      </c>
    </row>
    <row r="54" spans="1:47" x14ac:dyDescent="0.35">
      <c r="A54" s="3"/>
      <c r="B54" s="3"/>
      <c r="C54" s="3"/>
      <c r="D54" s="3"/>
      <c r="E54" s="3"/>
      <c r="F54" s="3"/>
      <c r="G54" s="3"/>
      <c r="H54" s="3"/>
      <c r="I54" s="3"/>
      <c r="J54" s="3"/>
      <c r="K54" s="3"/>
      <c r="L54" s="3"/>
      <c r="M54" s="3"/>
      <c r="N54" s="3"/>
      <c r="O54" s="3"/>
      <c r="P54" s="3"/>
      <c r="Q54" s="3"/>
      <c r="R54" s="3"/>
      <c r="S54" s="3"/>
      <c r="T54" s="3"/>
      <c r="U54" s="3"/>
      <c r="V54" s="3"/>
      <c r="W54" s="3"/>
      <c r="AA54" s="21" t="str">
        <f>'Reported Group Highlights'!A112</f>
        <v>Sales and Marketing %</v>
      </c>
      <c r="AB54" s="23">
        <f>IFERROR(INDEX('Reported Group Highlights'!$A:$AAW,MATCH($AA54,'Reported Group Highlights'!$A:$A,0),MATCH(AB51,'Reported Group Highlights'!$1:$1,0)),"")</f>
        <v>7.6585025130613493E-2</v>
      </c>
      <c r="AC54" s="23">
        <f>IFERROR(INDEX('Reported Group Highlights'!$A:$AAW,MATCH($AA54,'Reported Group Highlights'!$A:$A,0),MATCH(AC51,'Reported Group Highlights'!$1:$1,0)),"")</f>
        <v>7.7906323211076059E-2</v>
      </c>
      <c r="AD54" s="23">
        <f>IFERROR(INDEX('Reported Group Highlights'!$A:$AAW,MATCH($AA54,'Reported Group Highlights'!$A:$A,0),MATCH(AD51,'Reported Group Highlights'!$1:$1,0)),"")</f>
        <v>7.6117476495248151E-2</v>
      </c>
      <c r="AE54" s="23">
        <f>IFERROR(INDEX('Reported Group Highlights'!$A:$AAW,MATCH($AA54,'Reported Group Highlights'!$A:$A,0),MATCH(AE51,'Reported Group Highlights'!$1:$1,0)),"")</f>
        <v>8.2809212875818924E-2</v>
      </c>
      <c r="AF54" s="23">
        <f>IFERROR(INDEX('Reported Group Highlights'!$A:$AAW,MATCH($AA54,'Reported Group Highlights'!$A:$A,0),MATCH(AF51,'Reported Group Highlights'!$1:$1,0)),"")</f>
        <v>6.9722867761577351E-2</v>
      </c>
      <c r="AG54" s="23">
        <f>IFERROR(INDEX('Reported Group Highlights'!$A:$AAW,MATCH($AA54,'Reported Group Highlights'!$A:$A,0),MATCH(AG51,'Reported Group Highlights'!$1:$1,0)),"")</f>
        <v>6.6059135226694446E-2</v>
      </c>
      <c r="AH54" s="23">
        <f>IFERROR(INDEX('Reported Group Highlights'!$A:$AAW,MATCH($AA54,'Reported Group Highlights'!$A:$A,0),MATCH(AH51,'Reported Group Highlights'!$1:$1,0)),"")</f>
        <v>7.1454311391664513E-2</v>
      </c>
      <c r="AI54" s="23">
        <f>IFERROR(INDEX('Reported Group Highlights'!$A:$AAW,MATCH($AA54,'Reported Group Highlights'!$A:$A,0),MATCH(AI51,'Reported Group Highlights'!$1:$1,0)),"")</f>
        <v>7.0434589066108569E-2</v>
      </c>
      <c r="AJ54" s="23">
        <f>IFERROR(INDEX('Reported Group Highlights'!$A:$AAW,MATCH($AA54,'Reported Group Highlights'!$A:$A,0),MATCH(AJ51,'Reported Group Highlights'!$1:$1,0)),"")</f>
        <v>8.4057705627158211E-2</v>
      </c>
      <c r="AK54" s="23">
        <f>IFERROR(INDEX('Reported Group Highlights'!$A:$AAW,MATCH($AA54,'Reported Group Highlights'!$A:$A,0),MATCH(AK51,'Reported Group Highlights'!$1:$1,0)),"")</f>
        <v>9.5145474038611899E-2</v>
      </c>
      <c r="AL54" s="23">
        <f>IFERROR(INDEX('Reported Group Highlights'!$A:$AAW,MATCH($AA54,'Reported Group Highlights'!$A:$A,0),MATCH(AL51,'Reported Group Highlights'!$1:$1,0)),"")</f>
        <v>0.10580935172225471</v>
      </c>
      <c r="AM54" s="23">
        <f>IFERROR(INDEX('Reported Group Highlights'!$A:$AAW,MATCH($AA54,'Reported Group Highlights'!$A:$A,0),MATCH(AM51,'Reported Group Highlights'!$1:$1,0)),"")</f>
        <v>9.7721595367865635E-2</v>
      </c>
      <c r="AN54" s="23">
        <f>IFERROR(INDEX('Reported Group Highlights'!$A:$AAW,MATCH($AA54,'Reported Group Highlights'!$A:$A,0),MATCH(AN51,'Reported Group Highlights'!$1:$1,0)),"")</f>
        <v>0.10807366117680074</v>
      </c>
      <c r="AO54" s="23">
        <f>IFERROR(INDEX('Reported Group Highlights'!$A:$AAW,MATCH($AA54,'Reported Group Highlights'!$A:$A,0),MATCH(AO51,'Reported Group Highlights'!$1:$1,0)),"")</f>
        <v>8.9300167563534566E-2</v>
      </c>
      <c r="AP54" s="23">
        <f>IFERROR(INDEX('Reported Group Highlights'!$A:$AAW,MATCH($AA54,'Reported Group Highlights'!$A:$A,0),MATCH(AP51,'Reported Group Highlights'!$1:$1,0)),"")</f>
        <v>7.8721910485865479E-2</v>
      </c>
      <c r="AQ54" s="23">
        <f>IFERROR(INDEX('Reported Group Highlights'!$A:$AAW,MATCH($AA54,'Reported Group Highlights'!$A:$A,0),MATCH(AQ51,'Reported Group Highlights'!$1:$1,0)),"")</f>
        <v>8.513880566517823E-2</v>
      </c>
      <c r="AR54" s="23">
        <f>IFERROR(INDEX('Reported Group Highlights'!$A:$AAW,MATCH($AA54,'Reported Group Highlights'!$A:$A,0),MATCH(AR51,'Reported Group Highlights'!$1:$1,0)),"")</f>
        <v>7.4914896988654528E-2</v>
      </c>
      <c r="AS54" s="23">
        <f>IFERROR(INDEX('Reported Group Highlights'!$A:$AAW,MATCH($AA54,'Reported Group Highlights'!$A:$A,0),MATCH(AS51,'Reported Group Highlights'!$1:$1,0)),"")</f>
        <v>7.4630503834455589E-2</v>
      </c>
      <c r="AT54" s="23">
        <f>IFERROR(INDEX('Reported Group Highlights'!$A:$AAW,MATCH($AA54,'Reported Group Highlights'!$A:$A,0),MATCH(AT51,'Reported Group Highlights'!$1:$1,0)),"")</f>
        <v>7.7240973003884716E-2</v>
      </c>
      <c r="AU54" s="23">
        <f>IFERROR(INDEX('Reported Group Highlights'!$A:$AAW,MATCH($AA54,'Reported Group Highlights'!$A:$A,0),MATCH(AU51,'Reported Group Highlights'!$1:$1,0)),"")</f>
        <v>7.6903697961654457E-2</v>
      </c>
    </row>
    <row r="55" spans="1:47" x14ac:dyDescent="0.35">
      <c r="A55" s="3"/>
      <c r="B55" s="3"/>
      <c r="C55" s="3"/>
      <c r="D55" s="3"/>
      <c r="E55" s="3"/>
      <c r="F55" s="3"/>
      <c r="G55" s="3"/>
      <c r="H55" s="3"/>
      <c r="I55" s="3"/>
      <c r="J55" s="3"/>
      <c r="K55" s="3"/>
      <c r="L55" s="3"/>
      <c r="M55" s="3"/>
      <c r="N55" s="3"/>
      <c r="O55" s="3"/>
      <c r="P55" s="3"/>
      <c r="Q55" s="3"/>
      <c r="R55" s="3"/>
      <c r="S55" s="3"/>
      <c r="T55" s="3"/>
      <c r="U55" s="3"/>
      <c r="V55" s="3"/>
      <c r="W55" s="3"/>
      <c r="AA55" s="21" t="str">
        <f>'Reported Group Highlights'!A113</f>
        <v>Infrastructure Exp %</v>
      </c>
      <c r="AB55" s="23">
        <f>IFERROR(INDEX('Reported Group Highlights'!$A:$AAW,MATCH($AA55,'Reported Group Highlights'!$A:$A,0),MATCH(AB51,'Reported Group Highlights'!$1:$1,0)),"")</f>
        <v>0.38812017112144609</v>
      </c>
      <c r="AC55" s="23">
        <f>IFERROR(INDEX('Reported Group Highlights'!$A:$AAW,MATCH($AA55,'Reported Group Highlights'!$A:$A,0),MATCH(AC51,'Reported Group Highlights'!$1:$1,0)),"")</f>
        <v>0.37410934390951422</v>
      </c>
      <c r="AD55" s="23">
        <f>IFERROR(INDEX('Reported Group Highlights'!$A:$AAW,MATCH($AA55,'Reported Group Highlights'!$A:$A,0),MATCH(AD51,'Reported Group Highlights'!$1:$1,0)),"")</f>
        <v>0.37532723166152848</v>
      </c>
      <c r="AE55" s="23">
        <f>IFERROR(INDEX('Reported Group Highlights'!$A:$AAW,MATCH($AA55,'Reported Group Highlights'!$A:$A,0),MATCH(AE51,'Reported Group Highlights'!$1:$1,0)),"")</f>
        <v>0.37053613896976606</v>
      </c>
      <c r="AF55" s="23">
        <f>IFERROR(INDEX('Reported Group Highlights'!$A:$AAW,MATCH($AA55,'Reported Group Highlights'!$A:$A,0),MATCH(AF51,'Reported Group Highlights'!$1:$1,0)),"")</f>
        <v>0.31272276109944191</v>
      </c>
      <c r="AG55" s="23">
        <f>IFERROR(INDEX('Reported Group Highlights'!$A:$AAW,MATCH($AA55,'Reported Group Highlights'!$A:$A,0),MATCH(AG51,'Reported Group Highlights'!$1:$1,0)),"")</f>
        <v>0.31482325992265159</v>
      </c>
      <c r="AH55" s="23">
        <f>IFERROR(INDEX('Reported Group Highlights'!$A:$AAW,MATCH($AA55,'Reported Group Highlights'!$A:$A,0),MATCH(AH51,'Reported Group Highlights'!$1:$1,0)),"")</f>
        <v>0.28950800206449939</v>
      </c>
      <c r="AI55" s="23">
        <f>IFERROR(INDEX('Reported Group Highlights'!$A:$AAW,MATCH($AA55,'Reported Group Highlights'!$A:$A,0),MATCH(AI51,'Reported Group Highlights'!$1:$1,0)),"")</f>
        <v>0.30938286249650554</v>
      </c>
      <c r="AJ55" s="23">
        <f>IFERROR(INDEX('Reported Group Highlights'!$A:$AAW,MATCH($AA55,'Reported Group Highlights'!$A:$A,0),MATCH(AJ51,'Reported Group Highlights'!$1:$1,0)),"")</f>
        <v>0.31597827755486591</v>
      </c>
      <c r="AK55" s="23">
        <f>IFERROR(INDEX('Reported Group Highlights'!$A:$AAW,MATCH($AA55,'Reported Group Highlights'!$A:$A,0),MATCH(AK51,'Reported Group Highlights'!$1:$1,0)),"")</f>
        <v>0.29030988714456546</v>
      </c>
      <c r="AL55" s="23">
        <f>IFERROR(INDEX('Reported Group Highlights'!$A:$AAW,MATCH($AA55,'Reported Group Highlights'!$A:$A,0),MATCH(AL51,'Reported Group Highlights'!$1:$1,0)),"")</f>
        <v>0.29643697313534118</v>
      </c>
      <c r="AM55" s="23">
        <f>IFERROR(INDEX('Reported Group Highlights'!$A:$AAW,MATCH($AA55,'Reported Group Highlights'!$A:$A,0),MATCH(AM51,'Reported Group Highlights'!$1:$1,0)),"")</f>
        <v>0.29324229704464733</v>
      </c>
      <c r="AN55" s="23">
        <f>IFERROR(INDEX('Reported Group Highlights'!$A:$AAW,MATCH($AA55,'Reported Group Highlights'!$A:$A,0),MATCH(AN51,'Reported Group Highlights'!$1:$1,0)),"")</f>
        <v>0.29545306559909962</v>
      </c>
      <c r="AO55" s="23">
        <f>IFERROR(INDEX('Reported Group Highlights'!$A:$AAW,MATCH($AA55,'Reported Group Highlights'!$A:$A,0),MATCH(AO51,'Reported Group Highlights'!$1:$1,0)),"")</f>
        <v>0.28246149700364437</v>
      </c>
      <c r="AP55" s="23">
        <f>IFERROR(INDEX('Reported Group Highlights'!$A:$AAW,MATCH($AA55,'Reported Group Highlights'!$A:$A,0),MATCH(AP51,'Reported Group Highlights'!$1:$1,0)),"")</f>
        <v>0.26741935483870949</v>
      </c>
      <c r="AQ55" s="23">
        <f>IFERROR(INDEX('Reported Group Highlights'!$A:$AAW,MATCH($AA55,'Reported Group Highlights'!$A:$A,0),MATCH(AQ51,'Reported Group Highlights'!$1:$1,0)),"")</f>
        <v>0.21991563346325518</v>
      </c>
      <c r="AR55" s="23">
        <f>IFERROR(INDEX('Reported Group Highlights'!$A:$AAW,MATCH($AA55,'Reported Group Highlights'!$A:$A,0),MATCH(AR51,'Reported Group Highlights'!$1:$1,0)),"")</f>
        <v>0.30950943672220776</v>
      </c>
      <c r="AS55" s="23">
        <f>IFERROR(INDEX('Reported Group Highlights'!$A:$AAW,MATCH($AA55,'Reported Group Highlights'!$A:$A,0),MATCH(AS51,'Reported Group Highlights'!$1:$1,0)),"")</f>
        <v>0.26051784287183849</v>
      </c>
      <c r="AT55" s="23">
        <f>IFERROR(INDEX('Reported Group Highlights'!$A:$AAW,MATCH($AA55,'Reported Group Highlights'!$A:$A,0),MATCH(AT51,'Reported Group Highlights'!$1:$1,0)),"")</f>
        <v>0.26915802088463719</v>
      </c>
      <c r="AU55" s="23">
        <f>IFERROR(INDEX('Reported Group Highlights'!$A:$AAW,MATCH($AA55,'Reported Group Highlights'!$A:$A,0),MATCH(AU51,'Reported Group Highlights'!$1:$1,0)),"")</f>
        <v>0.27651452474539168</v>
      </c>
    </row>
    <row r="56" spans="1:47" x14ac:dyDescent="0.35">
      <c r="A56" s="3"/>
      <c r="B56" s="3"/>
      <c r="C56" s="3"/>
      <c r="D56" s="3"/>
      <c r="E56" s="3"/>
      <c r="F56" s="3"/>
      <c r="G56" s="3"/>
      <c r="H56" s="3"/>
      <c r="I56" s="3"/>
      <c r="J56" s="3"/>
      <c r="K56" s="3"/>
      <c r="L56" s="3"/>
      <c r="M56" s="3"/>
      <c r="N56" s="3"/>
      <c r="O56" s="3"/>
      <c r="P56" s="3"/>
      <c r="Q56" s="3"/>
      <c r="R56" s="3"/>
      <c r="S56" s="3"/>
      <c r="T56" s="3"/>
      <c r="U56" s="3"/>
      <c r="V56" s="3"/>
      <c r="W56" s="3"/>
      <c r="AA56" s="21" t="str">
        <f>'Reported Group Highlights'!A114</f>
        <v>Overheads %</v>
      </c>
      <c r="AB56" s="23">
        <f>IFERROR(INDEX('Reported Group Highlights'!$A:$AAW,MATCH($AA56,'Reported Group Highlights'!$A:$A,0),MATCH(AB51,'Reported Group Highlights'!$1:$1,0)),"")</f>
        <v>2.8321376908257506E-2</v>
      </c>
      <c r="AC56" s="23">
        <f>IFERROR(INDEX('Reported Group Highlights'!$A:$AAW,MATCH($AA56,'Reported Group Highlights'!$A:$A,0),MATCH(AC51,'Reported Group Highlights'!$1:$1,0)),"")</f>
        <v>2.1622979503482336E-2</v>
      </c>
      <c r="AD56" s="23">
        <f>IFERROR(INDEX('Reported Group Highlights'!$A:$AAW,MATCH($AA56,'Reported Group Highlights'!$A:$A,0),MATCH(AD51,'Reported Group Highlights'!$1:$1,0)),"")</f>
        <v>1.7327555624934536E-2</v>
      </c>
      <c r="AE56" s="23">
        <f>IFERROR(INDEX('Reported Group Highlights'!$A:$AAW,MATCH($AA56,'Reported Group Highlights'!$A:$A,0),MATCH(AE51,'Reported Group Highlights'!$1:$1,0)),"")</f>
        <v>1.7778249091983726E-2</v>
      </c>
      <c r="AF56" s="23">
        <f>IFERROR(INDEX('Reported Group Highlights'!$A:$AAW,MATCH($AA56,'Reported Group Highlights'!$A:$A,0),MATCH(AF51,'Reported Group Highlights'!$1:$1,0)),"")</f>
        <v>1.4040923475535661E-2</v>
      </c>
      <c r="AG56" s="23">
        <f>IFERROR(INDEX('Reported Group Highlights'!$A:$AAW,MATCH($AA56,'Reported Group Highlights'!$A:$A,0),MATCH(AG51,'Reported Group Highlights'!$1:$1,0)),"")</f>
        <v>1.220879121046E-2</v>
      </c>
      <c r="AH56" s="23">
        <f>IFERROR(INDEX('Reported Group Highlights'!$A:$AAW,MATCH($AA56,'Reported Group Highlights'!$A:$A,0),MATCH(AH51,'Reported Group Highlights'!$1:$1,0)),"")</f>
        <v>1.0906920925203581E-2</v>
      </c>
      <c r="AI56" s="23">
        <f>IFERROR(INDEX('Reported Group Highlights'!$A:$AAW,MATCH($AA56,'Reported Group Highlights'!$A:$A,0),MATCH(AI51,'Reported Group Highlights'!$1:$1,0)),"")</f>
        <v>1.4464947274838252E-2</v>
      </c>
      <c r="AJ56" s="23">
        <f>IFERROR(INDEX('Reported Group Highlights'!$A:$AAW,MATCH($AA56,'Reported Group Highlights'!$A:$A,0),MATCH(AJ51,'Reported Group Highlights'!$1:$1,0)),"")</f>
        <v>8.4699736512829481E-3</v>
      </c>
      <c r="AK56" s="23">
        <f>IFERROR(INDEX('Reported Group Highlights'!$A:$AAW,MATCH($AA56,'Reported Group Highlights'!$A:$A,0),MATCH(AK51,'Reported Group Highlights'!$1:$1,0)),"")</f>
        <v>1.1497976165912176E-2</v>
      </c>
      <c r="AL56" s="23">
        <f>IFERROR(INDEX('Reported Group Highlights'!$A:$AAW,MATCH($AA56,'Reported Group Highlights'!$A:$A,0),MATCH(AL51,'Reported Group Highlights'!$1:$1,0)),"")</f>
        <v>1.3341060657246403E-2</v>
      </c>
      <c r="AM56" s="23">
        <f>IFERROR(INDEX('Reported Group Highlights'!$A:$AAW,MATCH($AA56,'Reported Group Highlights'!$A:$A,0),MATCH(AM51,'Reported Group Highlights'!$1:$1,0)),"")</f>
        <v>1.1141442799298292E-2</v>
      </c>
      <c r="AN56" s="23">
        <f>IFERROR(INDEX('Reported Group Highlights'!$A:$AAW,MATCH($AA56,'Reported Group Highlights'!$A:$A,0),MATCH(AN51,'Reported Group Highlights'!$1:$1,0)),"")</f>
        <v>1.2720001412031546E-2</v>
      </c>
      <c r="AO56" s="23">
        <f>IFERROR(INDEX('Reported Group Highlights'!$A:$AAW,MATCH($AA56,'Reported Group Highlights'!$A:$A,0),MATCH(AO51,'Reported Group Highlights'!$1:$1,0)),"")</f>
        <v>1.2654613056700081E-2</v>
      </c>
      <c r="AP56" s="23">
        <f>IFERROR(INDEX('Reported Group Highlights'!$A:$AAW,MATCH($AA56,'Reported Group Highlights'!$A:$A,0),MATCH(AP51,'Reported Group Highlights'!$1:$1,0)),"")</f>
        <v>1.0556471558120355E-2</v>
      </c>
      <c r="AQ56" s="23">
        <f>IFERROR(INDEX('Reported Group Highlights'!$A:$AAW,MATCH($AA56,'Reported Group Highlights'!$A:$A,0),MATCH(AQ51,'Reported Group Highlights'!$1:$1,0)),"")</f>
        <v>1.25559954596736E-2</v>
      </c>
      <c r="AR56" s="23">
        <f>IFERROR(INDEX('Reported Group Highlights'!$A:$AAW,MATCH($AA56,'Reported Group Highlights'!$A:$A,0),MATCH(AR51,'Reported Group Highlights'!$1:$1,0)),"")</f>
        <v>1.098508557470171E-2</v>
      </c>
      <c r="AS56" s="23">
        <f>IFERROR(INDEX('Reported Group Highlights'!$A:$AAW,MATCH($AA56,'Reported Group Highlights'!$A:$A,0),MATCH(AS51,'Reported Group Highlights'!$1:$1,0)),"")</f>
        <v>1.6837602770675128E-2</v>
      </c>
      <c r="AT56" s="23">
        <f>IFERROR(INDEX('Reported Group Highlights'!$A:$AAW,MATCH($AA56,'Reported Group Highlights'!$A:$A,0),MATCH(AT51,'Reported Group Highlights'!$1:$1,0)),"")</f>
        <v>6.1784880363833046E-3</v>
      </c>
      <c r="AU56" s="23">
        <f>IFERROR(INDEX('Reported Group Highlights'!$A:$AAW,MATCH($AA56,'Reported Group Highlights'!$A:$A,0),MATCH(AU51,'Reported Group Highlights'!$1:$1,0)),"")</f>
        <v>1.6760563496891191E-2</v>
      </c>
    </row>
    <row r="57" spans="1:47" x14ac:dyDescent="0.35">
      <c r="A57" s="3"/>
      <c r="B57" s="3"/>
      <c r="C57" s="3"/>
      <c r="D57" s="3"/>
      <c r="E57" s="3"/>
      <c r="F57" s="3"/>
      <c r="G57" s="3"/>
      <c r="H57" s="3"/>
      <c r="I57" s="3"/>
      <c r="J57" s="3"/>
      <c r="K57" s="3"/>
      <c r="L57" s="3"/>
      <c r="M57" s="3"/>
      <c r="N57" s="3"/>
      <c r="O57" s="3"/>
      <c r="P57" s="3"/>
      <c r="Q57" s="3"/>
      <c r="R57" s="3"/>
      <c r="S57" s="3"/>
      <c r="T57" s="3"/>
      <c r="U57" s="3"/>
      <c r="V57" s="3"/>
      <c r="W57" s="3"/>
    </row>
    <row r="58" spans="1:47" x14ac:dyDescent="0.35">
      <c r="A58" s="3"/>
      <c r="B58" s="3"/>
      <c r="C58" s="3"/>
      <c r="D58" s="3"/>
      <c r="E58" s="3"/>
      <c r="F58" s="3"/>
      <c r="G58" s="3"/>
      <c r="H58" s="3"/>
      <c r="I58" s="3"/>
      <c r="J58" s="3"/>
      <c r="K58" s="3"/>
      <c r="L58" s="3"/>
      <c r="M58" s="3"/>
      <c r="N58" s="3"/>
      <c r="O58" s="3"/>
      <c r="P58" s="3"/>
      <c r="Q58" s="3"/>
      <c r="R58" s="3"/>
      <c r="S58" s="3"/>
      <c r="T58" s="3"/>
      <c r="U58" s="3"/>
      <c r="V58" s="3"/>
      <c r="W58" s="3"/>
    </row>
    <row r="59" spans="1:47" x14ac:dyDescent="0.35">
      <c r="A59" s="3"/>
      <c r="B59" s="3"/>
      <c r="C59" s="3"/>
      <c r="D59" s="3"/>
      <c r="E59" s="3"/>
      <c r="F59" s="3"/>
      <c r="G59" s="3"/>
      <c r="H59" s="3"/>
      <c r="I59" s="3"/>
      <c r="J59" s="3"/>
      <c r="K59" s="3"/>
      <c r="L59" s="3"/>
      <c r="M59" s="3"/>
      <c r="N59" s="3"/>
      <c r="O59" s="3"/>
      <c r="P59" s="3"/>
      <c r="Q59" s="3"/>
      <c r="R59" s="3"/>
      <c r="S59" s="3"/>
      <c r="T59" s="3"/>
      <c r="U59" s="3"/>
      <c r="V59" s="3"/>
      <c r="W59" s="3"/>
    </row>
    <row r="60" spans="1:47" x14ac:dyDescent="0.35">
      <c r="A60" s="3"/>
      <c r="B60" s="3"/>
      <c r="C60" s="3"/>
      <c r="D60" s="3"/>
      <c r="E60" s="3"/>
      <c r="F60" s="3"/>
      <c r="G60" s="3"/>
      <c r="H60" s="3"/>
      <c r="I60" s="3"/>
      <c r="J60" s="3"/>
      <c r="K60" s="3"/>
      <c r="L60" s="3"/>
      <c r="M60" s="3"/>
      <c r="N60" s="3"/>
      <c r="O60" s="3"/>
      <c r="P60" s="3"/>
      <c r="Q60" s="3"/>
      <c r="R60" s="3"/>
      <c r="S60" s="3"/>
      <c r="T60" s="3"/>
      <c r="U60" s="3"/>
      <c r="V60" s="3"/>
      <c r="W60" s="3"/>
      <c r="AB60" s="19">
        <f t="shared" ref="AB60" si="39">AC60-1</f>
        <v>29</v>
      </c>
      <c r="AC60" s="19">
        <f t="shared" ref="AC60" si="40">AD60-1</f>
        <v>30</v>
      </c>
      <c r="AD60" s="19">
        <f t="shared" ref="AD60" si="41">AE60-1</f>
        <v>31</v>
      </c>
      <c r="AE60" s="19">
        <f t="shared" ref="AE60" si="42">AF60-1</f>
        <v>32</v>
      </c>
      <c r="AF60" s="19">
        <f t="shared" ref="AF60" si="43">AG60-1</f>
        <v>33</v>
      </c>
      <c r="AG60" s="19">
        <f t="shared" ref="AG60" si="44">AH60-1</f>
        <v>34</v>
      </c>
      <c r="AH60" s="19">
        <f t="shared" ref="AH60" si="45">AI60-1</f>
        <v>35</v>
      </c>
      <c r="AI60" s="19">
        <f t="shared" ref="AI60" si="46">AJ60-1</f>
        <v>36</v>
      </c>
      <c r="AJ60" s="19">
        <f t="shared" ref="AJ60" si="47">AK60-1</f>
        <v>37</v>
      </c>
      <c r="AK60" s="19">
        <f t="shared" ref="AK60" si="48">AL60-1</f>
        <v>38</v>
      </c>
      <c r="AL60" s="19">
        <f t="shared" ref="AL60" si="49">AM60-1</f>
        <v>39</v>
      </c>
      <c r="AM60" s="19">
        <f t="shared" ref="AM60" si="50">AN60-1</f>
        <v>40</v>
      </c>
      <c r="AN60" s="19">
        <f t="shared" ref="AN60" si="51">AO60-1</f>
        <v>41</v>
      </c>
      <c r="AO60" s="19">
        <f t="shared" ref="AO60" si="52">AP60-1</f>
        <v>42</v>
      </c>
      <c r="AP60" s="19">
        <f t="shared" ref="AP60" si="53">AQ60-1</f>
        <v>43</v>
      </c>
      <c r="AQ60" s="19">
        <f t="shared" ref="AQ60" si="54">AR60-1</f>
        <v>44</v>
      </c>
      <c r="AR60" s="19">
        <f t="shared" ref="AR60" si="55">AS60-1</f>
        <v>45</v>
      </c>
      <c r="AS60" s="19">
        <f t="shared" ref="AS60" si="56">AT60-1</f>
        <v>46</v>
      </c>
      <c r="AT60" s="19">
        <f>AU60-1</f>
        <v>47</v>
      </c>
      <c r="AU60" s="19">
        <f>VLOOKUP(AU61,Dates!$A:$D,2,FALSE)</f>
        <v>48</v>
      </c>
    </row>
    <row r="61" spans="1:47" x14ac:dyDescent="0.35">
      <c r="A61" s="3"/>
      <c r="B61" s="3"/>
      <c r="C61" s="3"/>
      <c r="D61" s="3"/>
      <c r="E61" s="3"/>
      <c r="F61" s="3"/>
      <c r="G61" s="3"/>
      <c r="H61" s="3"/>
      <c r="I61" s="3"/>
      <c r="J61" s="3"/>
      <c r="K61" s="3"/>
      <c r="L61" s="3"/>
      <c r="M61" s="3"/>
      <c r="N61" s="3"/>
      <c r="O61" s="3"/>
      <c r="P61" s="3"/>
      <c r="Q61" s="3"/>
      <c r="R61" s="3"/>
      <c r="S61" s="3"/>
      <c r="T61" s="3"/>
      <c r="U61" s="3"/>
      <c r="V61" s="3"/>
      <c r="W61" s="3"/>
      <c r="AB61" s="19" t="str">
        <f>IFERROR(VLOOKUP(AB60,Dates!$B:$D,3,FALSE),"")</f>
        <v>1Q19</v>
      </c>
      <c r="AC61" s="19" t="str">
        <f>IFERROR(VLOOKUP(AC60,Dates!$B:$D,3,FALSE),"")</f>
        <v>2Q19</v>
      </c>
      <c r="AD61" s="19" t="str">
        <f>IFERROR(VLOOKUP(AD60,Dates!$B:$D,3,FALSE),"")</f>
        <v>3Q19</v>
      </c>
      <c r="AE61" s="19" t="str">
        <f>IFERROR(VLOOKUP(AE60,Dates!$B:$D,3,FALSE),"")</f>
        <v>4Q19</v>
      </c>
      <c r="AF61" s="19" t="str">
        <f>IFERROR(VLOOKUP(AF60,Dates!$B:$D,3,FALSE),"")</f>
        <v>1Q20</v>
      </c>
      <c r="AG61" s="19" t="str">
        <f>IFERROR(VLOOKUP(AG60,Dates!$B:$D,3,FALSE),"")</f>
        <v>2Q20</v>
      </c>
      <c r="AH61" s="19" t="str">
        <f>IFERROR(VLOOKUP(AH60,Dates!$B:$D,3,FALSE),"")</f>
        <v>3Q20</v>
      </c>
      <c r="AI61" s="19" t="str">
        <f>IFERROR(VLOOKUP(AI60,Dates!$B:$D,3,FALSE),"")</f>
        <v>4Q20</v>
      </c>
      <c r="AJ61" s="19" t="str">
        <f>IFERROR(VLOOKUP(AJ60,Dates!$B:$D,3,FALSE),"")</f>
        <v>1Q21</v>
      </c>
      <c r="AK61" s="19" t="str">
        <f>IFERROR(VLOOKUP(AK60,Dates!$B:$D,3,FALSE),"")</f>
        <v>2Q21</v>
      </c>
      <c r="AL61" s="19" t="str">
        <f>IFERROR(VLOOKUP(AL60,Dates!$B:$D,3,FALSE),"")</f>
        <v>3Q21</v>
      </c>
      <c r="AM61" s="19" t="str">
        <f>IFERROR(VLOOKUP(AM60,Dates!$B:$D,3,FALSE),"")</f>
        <v>4Q21</v>
      </c>
      <c r="AN61" s="19" t="str">
        <f>IFERROR(VLOOKUP(AN60,Dates!$B:$D,3,FALSE),"")</f>
        <v>1Q22</v>
      </c>
      <c r="AO61" s="19" t="str">
        <f>IFERROR(VLOOKUP(AO60,Dates!$B:$D,3,FALSE),"")</f>
        <v>2Q22</v>
      </c>
      <c r="AP61" s="19" t="str">
        <f>IFERROR(VLOOKUP(AP60,Dates!$B:$D,3,FALSE),"")</f>
        <v>3Q22</v>
      </c>
      <c r="AQ61" s="19" t="str">
        <f>IFERROR(VLOOKUP(AQ60,Dates!$B:$D,3,FALSE),"")</f>
        <v>4Q22</v>
      </c>
      <c r="AR61" s="19" t="str">
        <f>IFERROR(VLOOKUP(AR60,Dates!$B:$D,3,FALSE),"")</f>
        <v>1Q23</v>
      </c>
      <c r="AS61" s="19" t="str">
        <f>IFERROR(VLOOKUP(AS60,Dates!$B:$D,3,FALSE),"")</f>
        <v>2Q23</v>
      </c>
      <c r="AT61" s="19" t="str">
        <f>IFERROR(VLOOKUP(AT60,Dates!$B:$D,3,FALSE),"")</f>
        <v>3Q23</v>
      </c>
      <c r="AU61" s="20" t="str">
        <f>$G$3</f>
        <v>4Q23</v>
      </c>
    </row>
    <row r="62" spans="1:47" x14ac:dyDescent="0.35">
      <c r="A62" s="3"/>
      <c r="B62" s="3"/>
      <c r="C62" s="3"/>
      <c r="D62" s="3"/>
      <c r="E62" s="3"/>
      <c r="F62" s="3"/>
      <c r="G62" s="3"/>
      <c r="H62" s="3"/>
      <c r="I62" s="3"/>
      <c r="J62" s="3"/>
      <c r="K62" s="3"/>
      <c r="L62" s="3"/>
      <c r="M62" s="3"/>
      <c r="N62" s="3"/>
      <c r="O62" s="3"/>
      <c r="P62" s="3"/>
      <c r="Q62" s="3"/>
      <c r="R62" s="3"/>
      <c r="S62" s="3"/>
      <c r="T62" s="3"/>
      <c r="U62" s="3"/>
      <c r="V62" s="3"/>
      <c r="W62" s="3"/>
      <c r="AA62" s="21" t="str">
        <f>'Reported Group Highlights'!A120</f>
        <v>Infrastructure Exp YoY %</v>
      </c>
      <c r="AB62" s="23">
        <f>IFERROR(INDEX('Reported Group Highlights'!$A:$AAW,MATCH($AA62,'Reported Group Highlights'!$A:$A,0),MATCH(AB61,'Reported Group Highlights'!$1:$1,0)),"")</f>
        <v>9.3050952266454101E-3</v>
      </c>
      <c r="AC62" s="23">
        <f>IFERROR(INDEX('Reported Group Highlights'!$A:$AAW,MATCH($AA62,'Reported Group Highlights'!$A:$A,0),MATCH(AC61,'Reported Group Highlights'!$1:$1,0)),"")</f>
        <v>1.6288680956559498E-2</v>
      </c>
      <c r="AD62" s="23">
        <f>IFERROR(INDEX('Reported Group Highlights'!$A:$AAW,MATCH($AA62,'Reported Group Highlights'!$A:$A,0),MATCH(AD61,'Reported Group Highlights'!$1:$1,0)),"")</f>
        <v>3.8794958524657197E-5</v>
      </c>
      <c r="AE62" s="23">
        <f>IFERROR(INDEX('Reported Group Highlights'!$A:$AAW,MATCH($AA62,'Reported Group Highlights'!$A:$A,0),MATCH(AE61,'Reported Group Highlights'!$1:$1,0)),"")</f>
        <v>8.3491247799734603E-3</v>
      </c>
      <c r="AF62" s="23">
        <f>IFERROR(INDEX('Reported Group Highlights'!$A:$AAW,MATCH($AA62,'Reported Group Highlights'!$A:$A,0),MATCH(AF61,'Reported Group Highlights'!$1:$1,0)),"")</f>
        <v>-7.5397410022004174E-2</v>
      </c>
      <c r="AG62" s="23">
        <f>IFERROR(INDEX('Reported Group Highlights'!$A:$AAW,MATCH($AA62,'Reported Group Highlights'!$A:$A,0),MATCH(AG61,'Reported Group Highlights'!$1:$1,0)),"")</f>
        <v>-5.9286083986862637E-2</v>
      </c>
      <c r="AH62" s="23">
        <f>IFERROR(INDEX('Reported Group Highlights'!$A:$AAW,MATCH($AA62,'Reported Group Highlights'!$A:$A,0),MATCH(AH61,'Reported Group Highlights'!$1:$1,0)),"")</f>
        <v>-8.581922959702909E-2</v>
      </c>
      <c r="AI62" s="23">
        <f>IFERROR(INDEX('Reported Group Highlights'!$A:$AAW,MATCH($AA62,'Reported Group Highlights'!$A:$A,0),MATCH(AI61,'Reported Group Highlights'!$1:$1,0)),"")</f>
        <v>-6.1153276473260521E-2</v>
      </c>
      <c r="AJ62" s="23">
        <f>IFERROR(INDEX('Reported Group Highlights'!$A:$AAW,MATCH($AA62,'Reported Group Highlights'!$A:$A,0),MATCH(AJ61,'Reported Group Highlights'!$1:$1,0)),"")</f>
        <v>3.2555164554239902E-3</v>
      </c>
      <c r="AK62" s="23">
        <f>IFERROR(INDEX('Reported Group Highlights'!$A:$AAW,MATCH($AA62,'Reported Group Highlights'!$A:$A,0),MATCH(AK61,'Reported Group Highlights'!$1:$1,0)),"")</f>
        <v>-2.4513372778086129E-2</v>
      </c>
      <c r="AL62" s="23">
        <f>IFERROR(INDEX('Reported Group Highlights'!$A:$AAW,MATCH($AA62,'Reported Group Highlights'!$A:$A,0),MATCH(AL61,'Reported Group Highlights'!$1:$1,0)),"")</f>
        <v>6.9289710708417829E-3</v>
      </c>
      <c r="AM62" s="23">
        <f>IFERROR(INDEX('Reported Group Highlights'!$A:$AAW,MATCH($AA62,'Reported Group Highlights'!$A:$A,0),MATCH(AM61,'Reported Group Highlights'!$1:$1,0)),"")</f>
        <v>-1.6140565451858213E-2</v>
      </c>
      <c r="AN62" s="23">
        <f>IFERROR(INDEX('Reported Group Highlights'!$A:$AAW,MATCH($AA62,'Reported Group Highlights'!$A:$A,0),MATCH(AN61,'Reported Group Highlights'!$1:$1,0)),"")</f>
        <v>-2.0525211955766287E-2</v>
      </c>
      <c r="AO62" s="23">
        <f>IFERROR(INDEX('Reported Group Highlights'!$A:$AAW,MATCH($AA62,'Reported Group Highlights'!$A:$A,0),MATCH(AO61,'Reported Group Highlights'!$1:$1,0)),"")</f>
        <v>-7.848390140921091E-3</v>
      </c>
      <c r="AP62" s="23">
        <f>IFERROR(INDEX('Reported Group Highlights'!$A:$AAW,MATCH($AA62,'Reported Group Highlights'!$A:$A,0),MATCH(AP61,'Reported Group Highlights'!$1:$1,0)),"")</f>
        <v>-2.9017618296631686E-2</v>
      </c>
      <c r="AQ62" s="23">
        <f>IFERROR(INDEX('Reported Group Highlights'!$A:$AAW,MATCH($AA62,'Reported Group Highlights'!$A:$A,0),MATCH(AQ61,'Reported Group Highlights'!$1:$1,0)),"")</f>
        <v>-7.3326663581392143E-2</v>
      </c>
      <c r="AR62" s="23">
        <f>IFERROR(INDEX('Reported Group Highlights'!$A:$AAW,MATCH($AA62,'Reported Group Highlights'!$A:$A,0),MATCH(AR61,'Reported Group Highlights'!$1:$1,0)),"")</f>
        <v>1.4056371123108147E-2</v>
      </c>
      <c r="AS62" s="23">
        <f>IFERROR(INDEX('Reported Group Highlights'!$A:$AAW,MATCH($AA62,'Reported Group Highlights'!$A:$A,0),MATCH(AS61,'Reported Group Highlights'!$1:$1,0)),"")</f>
        <v>-2.1943654131805879E-2</v>
      </c>
      <c r="AT62" s="23">
        <f>IFERROR(INDEX('Reported Group Highlights'!$A:$AAW,MATCH($AA62,'Reported Group Highlights'!$A:$A,0),MATCH(AT61,'Reported Group Highlights'!$1:$1,0)),"")</f>
        <v>1.7386660459277059E-3</v>
      </c>
      <c r="AU62" s="23">
        <f>IFERROR(INDEX('Reported Group Highlights'!$A:$AAW,MATCH($AA62,'Reported Group Highlights'!$A:$A,0),MATCH(AU61,'Reported Group Highlights'!$1:$1,0)),"")</f>
        <v>5.6598891282136493E-2</v>
      </c>
    </row>
    <row r="63" spans="1:47" x14ac:dyDescent="0.35">
      <c r="A63" s="3"/>
      <c r="B63" s="3"/>
      <c r="C63" s="3"/>
      <c r="D63" s="3"/>
      <c r="E63" s="3"/>
      <c r="F63" s="3"/>
      <c r="G63" s="3"/>
      <c r="H63" s="3"/>
      <c r="I63" s="3"/>
      <c r="J63" s="3"/>
      <c r="K63" s="3"/>
      <c r="L63" s="3"/>
      <c r="M63" s="3"/>
      <c r="N63" s="3"/>
      <c r="O63" s="3"/>
      <c r="P63" s="3"/>
      <c r="Q63" s="3"/>
      <c r="R63" s="3"/>
      <c r="S63" s="3"/>
      <c r="T63" s="3"/>
      <c r="U63" s="3"/>
      <c r="V63" s="3"/>
      <c r="W63" s="3"/>
    </row>
    <row r="64" spans="1:47" x14ac:dyDescent="0.35">
      <c r="A64" s="3"/>
      <c r="B64" s="3"/>
      <c r="C64" s="3"/>
      <c r="D64" s="3"/>
      <c r="E64" s="3"/>
      <c r="F64" s="3"/>
      <c r="G64" s="3"/>
      <c r="H64" s="3"/>
      <c r="I64" s="3"/>
      <c r="J64" s="3"/>
      <c r="K64" s="3"/>
      <c r="L64" s="3"/>
      <c r="M64" s="3"/>
      <c r="N64" s="3"/>
      <c r="O64" s="3"/>
      <c r="P64" s="3"/>
      <c r="Q64" s="3"/>
      <c r="R64" s="3"/>
      <c r="S64" s="3"/>
      <c r="T64" s="3"/>
      <c r="U64" s="3"/>
      <c r="V64" s="3"/>
      <c r="W64" s="3"/>
    </row>
    <row r="65" spans="1:47" x14ac:dyDescent="0.35">
      <c r="A65" s="3" t="s">
        <v>188</v>
      </c>
      <c r="B65" s="3"/>
      <c r="C65" s="3"/>
      <c r="D65" s="3"/>
      <c r="E65" s="3"/>
      <c r="F65" s="3"/>
      <c r="G65" s="3"/>
      <c r="H65" s="3"/>
      <c r="I65" s="3"/>
      <c r="J65" s="3"/>
      <c r="K65" s="3"/>
      <c r="L65" s="3"/>
      <c r="M65" s="3"/>
      <c r="N65" s="3"/>
      <c r="O65" s="3"/>
      <c r="P65" s="3"/>
      <c r="Q65" s="3"/>
      <c r="R65" s="3"/>
      <c r="S65" s="3"/>
      <c r="T65" s="3"/>
      <c r="U65" s="3"/>
      <c r="V65" s="3"/>
      <c r="W65" s="3"/>
    </row>
    <row r="66" spans="1:47" x14ac:dyDescent="0.35">
      <c r="A66" s="3"/>
      <c r="B66" s="3"/>
      <c r="C66" s="3"/>
      <c r="D66" s="3"/>
      <c r="E66" s="3"/>
      <c r="F66" s="3"/>
      <c r="G66" s="3"/>
      <c r="H66" s="3"/>
      <c r="I66" s="3"/>
      <c r="J66" s="3"/>
      <c r="K66" s="3"/>
      <c r="L66" s="3"/>
      <c r="M66" s="3"/>
      <c r="N66" s="3"/>
      <c r="O66" s="3"/>
      <c r="P66" s="3"/>
      <c r="Q66" s="3"/>
      <c r="R66" s="3"/>
      <c r="S66" s="3"/>
      <c r="T66" s="3"/>
      <c r="U66" s="3"/>
      <c r="V66" s="3"/>
      <c r="W66" s="3"/>
    </row>
    <row r="67" spans="1:47" x14ac:dyDescent="0.35">
      <c r="A67" s="1" t="s">
        <v>30</v>
      </c>
      <c r="B67" s="1" t="s">
        <v>129</v>
      </c>
      <c r="C67" s="1"/>
      <c r="D67" s="1"/>
      <c r="E67" s="1"/>
      <c r="F67" s="1"/>
      <c r="G67" s="1"/>
      <c r="H67" s="1"/>
      <c r="I67" s="1"/>
      <c r="J67" s="1"/>
      <c r="K67" s="1" t="s">
        <v>31</v>
      </c>
      <c r="L67" s="1" t="s">
        <v>130</v>
      </c>
      <c r="M67" s="1"/>
      <c r="N67" s="1"/>
      <c r="O67" s="1"/>
      <c r="P67" s="1"/>
      <c r="Q67" s="1"/>
      <c r="R67" s="1"/>
      <c r="S67" s="1"/>
      <c r="T67" s="1"/>
      <c r="U67" s="3"/>
      <c r="V67" s="3"/>
      <c r="W67" s="3"/>
    </row>
    <row r="68" spans="1:47" x14ac:dyDescent="0.35">
      <c r="A68" s="3"/>
      <c r="B68" s="3"/>
      <c r="C68" s="3"/>
      <c r="D68" s="3"/>
      <c r="E68" s="3"/>
      <c r="F68" s="3"/>
      <c r="G68" s="3"/>
      <c r="H68" s="3"/>
      <c r="I68" s="3"/>
      <c r="J68" s="3"/>
      <c r="K68" s="3"/>
      <c r="L68" s="3"/>
      <c r="M68" s="3"/>
      <c r="N68" s="3"/>
      <c r="O68" s="3"/>
      <c r="P68" s="3"/>
      <c r="Q68" s="3"/>
      <c r="R68" s="3"/>
      <c r="S68" s="3"/>
      <c r="T68" s="3"/>
      <c r="U68" s="3"/>
      <c r="V68" s="3"/>
      <c r="W68" s="3"/>
    </row>
    <row r="69" spans="1:47" x14ac:dyDescent="0.35">
      <c r="A69" s="3"/>
      <c r="B69" s="3"/>
      <c r="C69" s="3"/>
      <c r="D69" s="3"/>
      <c r="E69" s="3"/>
      <c r="F69" s="3"/>
      <c r="G69" s="3"/>
      <c r="H69" s="3"/>
      <c r="I69" s="3"/>
      <c r="J69" s="3"/>
      <c r="K69" s="3"/>
      <c r="L69" s="3"/>
      <c r="M69" s="3"/>
      <c r="N69" s="3"/>
      <c r="O69" s="3"/>
      <c r="P69" s="3"/>
      <c r="Q69" s="3"/>
      <c r="R69" s="3"/>
      <c r="S69" s="3"/>
      <c r="T69" s="3"/>
      <c r="U69" s="3"/>
      <c r="V69" s="3"/>
      <c r="W69" s="3"/>
    </row>
    <row r="70" spans="1:47" x14ac:dyDescent="0.35">
      <c r="A70" s="3"/>
      <c r="B70" s="3"/>
      <c r="C70" s="3"/>
      <c r="D70" s="3"/>
      <c r="E70" s="3"/>
      <c r="F70" s="3"/>
      <c r="G70" s="3"/>
      <c r="H70" s="3"/>
      <c r="I70" s="3"/>
      <c r="J70" s="3"/>
      <c r="K70" s="3"/>
      <c r="L70" s="3"/>
      <c r="M70" s="3"/>
      <c r="N70" s="3"/>
      <c r="O70" s="3"/>
      <c r="P70" s="3"/>
      <c r="Q70" s="3"/>
      <c r="R70" s="3"/>
      <c r="S70" s="3"/>
      <c r="T70" s="3"/>
      <c r="U70" s="3"/>
      <c r="V70" s="3"/>
      <c r="W70" s="3"/>
      <c r="AB70" s="19">
        <f t="shared" ref="AB70" si="57">AC70-1</f>
        <v>29</v>
      </c>
      <c r="AC70" s="19">
        <f t="shared" ref="AC70" si="58">AD70-1</f>
        <v>30</v>
      </c>
      <c r="AD70" s="19">
        <f t="shared" ref="AD70" si="59">AE70-1</f>
        <v>31</v>
      </c>
      <c r="AE70" s="19">
        <f t="shared" ref="AE70" si="60">AF70-1</f>
        <v>32</v>
      </c>
      <c r="AF70" s="19">
        <f t="shared" ref="AF70" si="61">AG70-1</f>
        <v>33</v>
      </c>
      <c r="AG70" s="19">
        <f t="shared" ref="AG70" si="62">AH70-1</f>
        <v>34</v>
      </c>
      <c r="AH70" s="19">
        <f t="shared" ref="AH70" si="63">AI70-1</f>
        <v>35</v>
      </c>
      <c r="AI70" s="19">
        <f t="shared" ref="AI70" si="64">AJ70-1</f>
        <v>36</v>
      </c>
      <c r="AJ70" s="19">
        <f t="shared" ref="AJ70" si="65">AK70-1</f>
        <v>37</v>
      </c>
      <c r="AK70" s="19">
        <f t="shared" ref="AK70" si="66">AL70-1</f>
        <v>38</v>
      </c>
      <c r="AL70" s="19">
        <f t="shared" ref="AL70" si="67">AM70-1</f>
        <v>39</v>
      </c>
      <c r="AM70" s="19">
        <f t="shared" ref="AM70" si="68">AN70-1</f>
        <v>40</v>
      </c>
      <c r="AN70" s="19">
        <f t="shared" ref="AN70" si="69">AO70-1</f>
        <v>41</v>
      </c>
      <c r="AO70" s="19">
        <f t="shared" ref="AO70" si="70">AP70-1</f>
        <v>42</v>
      </c>
      <c r="AP70" s="19">
        <f t="shared" ref="AP70" si="71">AQ70-1</f>
        <v>43</v>
      </c>
      <c r="AQ70" s="19">
        <f t="shared" ref="AQ70" si="72">AR70-1</f>
        <v>44</v>
      </c>
      <c r="AR70" s="19">
        <f t="shared" ref="AR70" si="73">AS70-1</f>
        <v>45</v>
      </c>
      <c r="AS70" s="19">
        <f t="shared" ref="AS70" si="74">AT70-1</f>
        <v>46</v>
      </c>
      <c r="AT70" s="19">
        <f>AU70-1</f>
        <v>47</v>
      </c>
      <c r="AU70" s="19">
        <f>VLOOKUP(AU71,Dates!$A:$D,2,FALSE)</f>
        <v>48</v>
      </c>
    </row>
    <row r="71" spans="1:47" x14ac:dyDescent="0.35">
      <c r="A71" s="3"/>
      <c r="B71" s="3"/>
      <c r="C71" s="3"/>
      <c r="D71" s="3"/>
      <c r="E71" s="3"/>
      <c r="F71" s="3"/>
      <c r="G71" s="3"/>
      <c r="H71" s="3"/>
      <c r="I71" s="3"/>
      <c r="J71" s="3"/>
      <c r="K71" s="3"/>
      <c r="L71" s="3"/>
      <c r="M71" s="3"/>
      <c r="N71" s="3"/>
      <c r="O71" s="3"/>
      <c r="P71" s="3"/>
      <c r="Q71" s="3"/>
      <c r="R71" s="3"/>
      <c r="S71" s="3"/>
      <c r="T71" s="3"/>
      <c r="U71" s="3"/>
      <c r="V71" s="3"/>
      <c r="W71" s="3"/>
      <c r="AB71" s="19" t="str">
        <f>IFERROR(VLOOKUP(AB70,Dates!$B:$D,3,FALSE),"")</f>
        <v>1Q19</v>
      </c>
      <c r="AC71" s="19" t="str">
        <f>IFERROR(VLOOKUP(AC70,Dates!$B:$D,3,FALSE),"")</f>
        <v>2Q19</v>
      </c>
      <c r="AD71" s="19" t="str">
        <f>IFERROR(VLOOKUP(AD70,Dates!$B:$D,3,FALSE),"")</f>
        <v>3Q19</v>
      </c>
      <c r="AE71" s="19" t="str">
        <f>IFERROR(VLOOKUP(AE70,Dates!$B:$D,3,FALSE),"")</f>
        <v>4Q19</v>
      </c>
      <c r="AF71" s="19" t="str">
        <f>IFERROR(VLOOKUP(AF70,Dates!$B:$D,3,FALSE),"")</f>
        <v>1Q20</v>
      </c>
      <c r="AG71" s="19" t="str">
        <f>IFERROR(VLOOKUP(AG70,Dates!$B:$D,3,FALSE),"")</f>
        <v>2Q20</v>
      </c>
      <c r="AH71" s="19" t="str">
        <f>IFERROR(VLOOKUP(AH70,Dates!$B:$D,3,FALSE),"")</f>
        <v>3Q20</v>
      </c>
      <c r="AI71" s="19" t="str">
        <f>IFERROR(VLOOKUP(AI70,Dates!$B:$D,3,FALSE),"")</f>
        <v>4Q20</v>
      </c>
      <c r="AJ71" s="19" t="str">
        <f>IFERROR(VLOOKUP(AJ70,Dates!$B:$D,3,FALSE),"")</f>
        <v>1Q21</v>
      </c>
      <c r="AK71" s="19" t="str">
        <f>IFERROR(VLOOKUP(AK70,Dates!$B:$D,3,FALSE),"")</f>
        <v>2Q21</v>
      </c>
      <c r="AL71" s="19" t="str">
        <f>IFERROR(VLOOKUP(AL70,Dates!$B:$D,3,FALSE),"")</f>
        <v>3Q21</v>
      </c>
      <c r="AM71" s="19" t="str">
        <f>IFERROR(VLOOKUP(AM70,Dates!$B:$D,3,FALSE),"")</f>
        <v>4Q21</v>
      </c>
      <c r="AN71" s="19" t="str">
        <f>IFERROR(VLOOKUP(AN70,Dates!$B:$D,3,FALSE),"")</f>
        <v>1Q22</v>
      </c>
      <c r="AO71" s="19" t="str">
        <f>IFERROR(VLOOKUP(AO70,Dates!$B:$D,3,FALSE),"")</f>
        <v>2Q22</v>
      </c>
      <c r="AP71" s="19" t="str">
        <f>IFERROR(VLOOKUP(AP70,Dates!$B:$D,3,FALSE),"")</f>
        <v>3Q22</v>
      </c>
      <c r="AQ71" s="19" t="str">
        <f>IFERROR(VLOOKUP(AQ70,Dates!$B:$D,3,FALSE),"")</f>
        <v>4Q22</v>
      </c>
      <c r="AR71" s="19" t="str">
        <f>IFERROR(VLOOKUP(AR70,Dates!$B:$D,3,FALSE),"")</f>
        <v>1Q23</v>
      </c>
      <c r="AS71" s="19" t="str">
        <f>IFERROR(VLOOKUP(AS70,Dates!$B:$D,3,FALSE),"")</f>
        <v>2Q23</v>
      </c>
      <c r="AT71" s="19" t="str">
        <f>IFERROR(VLOOKUP(AT70,Dates!$B:$D,3,FALSE),"")</f>
        <v>3Q23</v>
      </c>
      <c r="AU71" s="20" t="str">
        <f>$G$3</f>
        <v>4Q23</v>
      </c>
    </row>
    <row r="72" spans="1:47" x14ac:dyDescent="0.35">
      <c r="A72" s="3"/>
      <c r="B72" s="3"/>
      <c r="C72" s="3"/>
      <c r="D72" s="3"/>
      <c r="E72" s="3"/>
      <c r="F72" s="3"/>
      <c r="G72" s="3"/>
      <c r="H72" s="3"/>
      <c r="I72" s="3"/>
      <c r="J72" s="3"/>
      <c r="K72" s="3"/>
      <c r="L72" s="3"/>
      <c r="M72" s="3"/>
      <c r="N72" s="3"/>
      <c r="O72" s="3"/>
      <c r="P72" s="3"/>
      <c r="Q72" s="3"/>
      <c r="R72" s="3"/>
      <c r="S72" s="3"/>
      <c r="T72" s="3"/>
      <c r="U72" s="3"/>
      <c r="V72" s="3"/>
      <c r="W72" s="3"/>
      <c r="AA72" s="21" t="str">
        <f>'Reported Group Highlights'!A113</f>
        <v>Infrastructure Exp %</v>
      </c>
      <c r="AB72" s="23">
        <f>IFERROR(INDEX('Reported Group Highlights'!$A:$AAW,MATCH($AA72,'Reported Group Highlights'!$A:$A,0),MATCH(AB71,'Reported Group Highlights'!$1:$1,0)),"")</f>
        <v>0.38812017112144609</v>
      </c>
      <c r="AC72" s="23">
        <f>IFERROR(INDEX('Reported Group Highlights'!$A:$AAW,MATCH($AA72,'Reported Group Highlights'!$A:$A,0),MATCH(AC71,'Reported Group Highlights'!$1:$1,0)),"")</f>
        <v>0.37410934390951422</v>
      </c>
      <c r="AD72" s="23">
        <f>IFERROR(INDEX('Reported Group Highlights'!$A:$AAW,MATCH($AA72,'Reported Group Highlights'!$A:$A,0),MATCH(AD71,'Reported Group Highlights'!$1:$1,0)),"")</f>
        <v>0.37532723166152848</v>
      </c>
      <c r="AE72" s="23">
        <f>IFERROR(INDEX('Reported Group Highlights'!$A:$AAW,MATCH($AA72,'Reported Group Highlights'!$A:$A,0),MATCH(AE71,'Reported Group Highlights'!$1:$1,0)),"")</f>
        <v>0.37053613896976606</v>
      </c>
      <c r="AF72" s="23">
        <f>IFERROR(INDEX('Reported Group Highlights'!$A:$AAW,MATCH($AA72,'Reported Group Highlights'!$A:$A,0),MATCH(AF71,'Reported Group Highlights'!$1:$1,0)),"")</f>
        <v>0.31272276109944191</v>
      </c>
      <c r="AG72" s="23">
        <f>IFERROR(INDEX('Reported Group Highlights'!$A:$AAW,MATCH($AA72,'Reported Group Highlights'!$A:$A,0),MATCH(AG71,'Reported Group Highlights'!$1:$1,0)),"")</f>
        <v>0.31482325992265159</v>
      </c>
      <c r="AH72" s="23">
        <f>IFERROR(INDEX('Reported Group Highlights'!$A:$AAW,MATCH($AA72,'Reported Group Highlights'!$A:$A,0),MATCH(AH71,'Reported Group Highlights'!$1:$1,0)),"")</f>
        <v>0.28950800206449939</v>
      </c>
      <c r="AI72" s="23">
        <f>IFERROR(INDEX('Reported Group Highlights'!$A:$AAW,MATCH($AA72,'Reported Group Highlights'!$A:$A,0),MATCH(AI71,'Reported Group Highlights'!$1:$1,0)),"")</f>
        <v>0.30938286249650554</v>
      </c>
      <c r="AJ72" s="23">
        <f>IFERROR(INDEX('Reported Group Highlights'!$A:$AAW,MATCH($AA72,'Reported Group Highlights'!$A:$A,0),MATCH(AJ71,'Reported Group Highlights'!$1:$1,0)),"")</f>
        <v>0.31597827755486591</v>
      </c>
      <c r="AK72" s="23">
        <f>IFERROR(INDEX('Reported Group Highlights'!$A:$AAW,MATCH($AA72,'Reported Group Highlights'!$A:$A,0),MATCH(AK71,'Reported Group Highlights'!$1:$1,0)),"")</f>
        <v>0.29030988714456546</v>
      </c>
      <c r="AL72" s="23">
        <f>IFERROR(INDEX('Reported Group Highlights'!$A:$AAW,MATCH($AA72,'Reported Group Highlights'!$A:$A,0),MATCH(AL71,'Reported Group Highlights'!$1:$1,0)),"")</f>
        <v>0.29643697313534118</v>
      </c>
      <c r="AM72" s="23">
        <f>IFERROR(INDEX('Reported Group Highlights'!$A:$AAW,MATCH($AA72,'Reported Group Highlights'!$A:$A,0),MATCH(AM71,'Reported Group Highlights'!$1:$1,0)),"")</f>
        <v>0.29324229704464733</v>
      </c>
      <c r="AN72" s="23">
        <f>IFERROR(INDEX('Reported Group Highlights'!$A:$AAW,MATCH($AA72,'Reported Group Highlights'!$A:$A,0),MATCH(AN71,'Reported Group Highlights'!$1:$1,0)),"")</f>
        <v>0.29545306559909962</v>
      </c>
      <c r="AO72" s="23">
        <f>IFERROR(INDEX('Reported Group Highlights'!$A:$AAW,MATCH($AA72,'Reported Group Highlights'!$A:$A,0),MATCH(AO71,'Reported Group Highlights'!$1:$1,0)),"")</f>
        <v>0.28246149700364437</v>
      </c>
      <c r="AP72" s="23">
        <f>IFERROR(INDEX('Reported Group Highlights'!$A:$AAW,MATCH($AA72,'Reported Group Highlights'!$A:$A,0),MATCH(AP71,'Reported Group Highlights'!$1:$1,0)),"")</f>
        <v>0.26741935483870949</v>
      </c>
      <c r="AQ72" s="23">
        <f>IFERROR(INDEX('Reported Group Highlights'!$A:$AAW,MATCH($AA72,'Reported Group Highlights'!$A:$A,0),MATCH(AQ71,'Reported Group Highlights'!$1:$1,0)),"")</f>
        <v>0.21991563346325518</v>
      </c>
      <c r="AR72" s="23">
        <f>IFERROR(INDEX('Reported Group Highlights'!$A:$AAW,MATCH($AA72,'Reported Group Highlights'!$A:$A,0),MATCH(AR71,'Reported Group Highlights'!$1:$1,0)),"")</f>
        <v>0.30950943672220776</v>
      </c>
      <c r="AS72" s="23">
        <f>IFERROR(INDEX('Reported Group Highlights'!$A:$AAW,MATCH($AA72,'Reported Group Highlights'!$A:$A,0),MATCH(AS71,'Reported Group Highlights'!$1:$1,0)),"")</f>
        <v>0.26051784287183849</v>
      </c>
      <c r="AT72" s="23">
        <f>IFERROR(INDEX('Reported Group Highlights'!$A:$AAW,MATCH($AA72,'Reported Group Highlights'!$A:$A,0),MATCH(AT71,'Reported Group Highlights'!$1:$1,0)),"")</f>
        <v>0.26915802088463719</v>
      </c>
      <c r="AU72" s="23">
        <f>IFERROR(INDEX('Reported Group Highlights'!$A:$AAW,MATCH($AA72,'Reported Group Highlights'!$A:$A,0),MATCH(AU71,'Reported Group Highlights'!$1:$1,0)),"")</f>
        <v>0.27651452474539168</v>
      </c>
    </row>
    <row r="73" spans="1:47" x14ac:dyDescent="0.35">
      <c r="A73" s="3"/>
      <c r="B73" s="3"/>
      <c r="C73" s="3"/>
      <c r="D73" s="3"/>
      <c r="E73" s="3"/>
      <c r="F73" s="3"/>
      <c r="G73" s="3"/>
      <c r="H73" s="3"/>
      <c r="I73" s="3"/>
      <c r="J73" s="3"/>
      <c r="K73" s="3"/>
      <c r="L73" s="3"/>
      <c r="M73" s="3"/>
      <c r="N73" s="3"/>
      <c r="O73" s="3"/>
      <c r="P73" s="3"/>
      <c r="Q73" s="3"/>
      <c r="R73" s="3"/>
      <c r="S73" s="3"/>
      <c r="T73" s="3"/>
      <c r="U73" s="3"/>
      <c r="V73" s="3"/>
      <c r="W73" s="3"/>
    </row>
    <row r="74" spans="1:47" x14ac:dyDescent="0.35">
      <c r="A74" s="3"/>
      <c r="B74" s="3"/>
      <c r="C74" s="3"/>
      <c r="D74" s="3"/>
      <c r="E74" s="3"/>
      <c r="F74" s="3"/>
      <c r="G74" s="3"/>
      <c r="H74" s="3"/>
      <c r="I74" s="3"/>
      <c r="J74" s="3"/>
      <c r="K74" s="3"/>
      <c r="L74" s="3"/>
      <c r="M74" s="3"/>
      <c r="N74" s="3"/>
      <c r="O74" s="3"/>
      <c r="P74" s="3"/>
      <c r="Q74" s="3"/>
      <c r="R74" s="3"/>
      <c r="S74" s="3"/>
      <c r="T74" s="3"/>
      <c r="U74" s="3"/>
      <c r="V74" s="3"/>
      <c r="W74" s="3"/>
    </row>
    <row r="75" spans="1:47" x14ac:dyDescent="0.35">
      <c r="A75" s="3"/>
      <c r="B75" s="3"/>
      <c r="C75" s="3"/>
      <c r="D75" s="3"/>
      <c r="E75" s="3"/>
      <c r="F75" s="3"/>
      <c r="G75" s="3"/>
      <c r="H75" s="3"/>
      <c r="I75" s="3"/>
      <c r="J75" s="3"/>
      <c r="K75" s="3"/>
      <c r="L75" s="3"/>
      <c r="M75" s="3"/>
      <c r="N75" s="3"/>
      <c r="O75" s="3"/>
      <c r="P75" s="3"/>
      <c r="Q75" s="3"/>
      <c r="R75" s="3"/>
      <c r="S75" s="3"/>
      <c r="T75" s="3"/>
      <c r="U75" s="3"/>
      <c r="V75" s="3"/>
      <c r="W75" s="3"/>
    </row>
    <row r="76" spans="1:47" x14ac:dyDescent="0.35">
      <c r="A76" s="3"/>
      <c r="B76" s="3"/>
      <c r="C76" s="3"/>
      <c r="D76" s="3"/>
      <c r="E76" s="3"/>
      <c r="F76" s="3"/>
      <c r="G76" s="3"/>
      <c r="H76" s="3"/>
      <c r="I76" s="3"/>
      <c r="J76" s="3"/>
      <c r="K76" s="3"/>
      <c r="L76" s="3"/>
      <c r="M76" s="3"/>
      <c r="N76" s="3"/>
      <c r="O76" s="3"/>
      <c r="P76" s="3"/>
      <c r="Q76" s="3"/>
      <c r="R76" s="3"/>
      <c r="S76" s="3"/>
      <c r="T76" s="3"/>
      <c r="U76" s="3"/>
      <c r="V76" s="3"/>
      <c r="W76" s="3"/>
      <c r="AB76" s="19">
        <f t="shared" ref="AB76" si="75">AC76-1</f>
        <v>29</v>
      </c>
      <c r="AC76" s="19">
        <f t="shared" ref="AC76" si="76">AD76-1</f>
        <v>30</v>
      </c>
      <c r="AD76" s="19">
        <f t="shared" ref="AD76" si="77">AE76-1</f>
        <v>31</v>
      </c>
      <c r="AE76" s="19">
        <f t="shared" ref="AE76" si="78">AF76-1</f>
        <v>32</v>
      </c>
      <c r="AF76" s="19">
        <f t="shared" ref="AF76" si="79">AG76-1</f>
        <v>33</v>
      </c>
      <c r="AG76" s="19">
        <f t="shared" ref="AG76" si="80">AH76-1</f>
        <v>34</v>
      </c>
      <c r="AH76" s="19">
        <f t="shared" ref="AH76" si="81">AI76-1</f>
        <v>35</v>
      </c>
      <c r="AI76" s="19">
        <f t="shared" ref="AI76" si="82">AJ76-1</f>
        <v>36</v>
      </c>
      <c r="AJ76" s="19">
        <f t="shared" ref="AJ76" si="83">AK76-1</f>
        <v>37</v>
      </c>
      <c r="AK76" s="19">
        <f t="shared" ref="AK76" si="84">AL76-1</f>
        <v>38</v>
      </c>
      <c r="AL76" s="19">
        <f t="shared" ref="AL76" si="85">AM76-1</f>
        <v>39</v>
      </c>
      <c r="AM76" s="19">
        <f t="shared" ref="AM76" si="86">AN76-1</f>
        <v>40</v>
      </c>
      <c r="AN76" s="19">
        <f t="shared" ref="AN76" si="87">AO76-1</f>
        <v>41</v>
      </c>
      <c r="AO76" s="19">
        <f t="shared" ref="AO76" si="88">AP76-1</f>
        <v>42</v>
      </c>
      <c r="AP76" s="19">
        <f t="shared" ref="AP76" si="89">AQ76-1</f>
        <v>43</v>
      </c>
      <c r="AQ76" s="19">
        <f t="shared" ref="AQ76" si="90">AR76-1</f>
        <v>44</v>
      </c>
      <c r="AR76" s="19">
        <f t="shared" ref="AR76" si="91">AS76-1</f>
        <v>45</v>
      </c>
      <c r="AS76" s="19">
        <f t="shared" ref="AS76" si="92">AT76-1</f>
        <v>46</v>
      </c>
      <c r="AT76" s="19">
        <f>AU76-1</f>
        <v>47</v>
      </c>
      <c r="AU76" s="19">
        <f>VLOOKUP(AU77,Dates!$A:$D,2,FALSE)</f>
        <v>48</v>
      </c>
    </row>
    <row r="77" spans="1:47" x14ac:dyDescent="0.35">
      <c r="A77" s="3"/>
      <c r="B77" s="3"/>
      <c r="C77" s="3"/>
      <c r="D77" s="3"/>
      <c r="E77" s="3"/>
      <c r="F77" s="3"/>
      <c r="G77" s="3"/>
      <c r="H77" s="3"/>
      <c r="I77" s="3"/>
      <c r="J77" s="3"/>
      <c r="K77" s="3"/>
      <c r="L77" s="3"/>
      <c r="M77" s="3"/>
      <c r="N77" s="3"/>
      <c r="O77" s="3"/>
      <c r="P77" s="3"/>
      <c r="Q77" s="3"/>
      <c r="R77" s="3"/>
      <c r="S77" s="3"/>
      <c r="T77" s="3"/>
      <c r="U77" s="3"/>
      <c r="V77" s="3"/>
      <c r="W77" s="3"/>
      <c r="AB77" s="19" t="str">
        <f>IFERROR(VLOOKUP(AB76,Dates!$B:$D,3,FALSE),"")</f>
        <v>1Q19</v>
      </c>
      <c r="AC77" s="19" t="str">
        <f>IFERROR(VLOOKUP(AC76,Dates!$B:$D,3,FALSE),"")</f>
        <v>2Q19</v>
      </c>
      <c r="AD77" s="19" t="str">
        <f>IFERROR(VLOOKUP(AD76,Dates!$B:$D,3,FALSE),"")</f>
        <v>3Q19</v>
      </c>
      <c r="AE77" s="19" t="str">
        <f>IFERROR(VLOOKUP(AE76,Dates!$B:$D,3,FALSE),"")</f>
        <v>4Q19</v>
      </c>
      <c r="AF77" s="19" t="str">
        <f>IFERROR(VLOOKUP(AF76,Dates!$B:$D,3,FALSE),"")</f>
        <v>1Q20</v>
      </c>
      <c r="AG77" s="19" t="str">
        <f>IFERROR(VLOOKUP(AG76,Dates!$B:$D,3,FALSE),"")</f>
        <v>2Q20</v>
      </c>
      <c r="AH77" s="19" t="str">
        <f>IFERROR(VLOOKUP(AH76,Dates!$B:$D,3,FALSE),"")</f>
        <v>3Q20</v>
      </c>
      <c r="AI77" s="19" t="str">
        <f>IFERROR(VLOOKUP(AI76,Dates!$B:$D,3,FALSE),"")</f>
        <v>4Q20</v>
      </c>
      <c r="AJ77" s="19" t="str">
        <f>IFERROR(VLOOKUP(AJ76,Dates!$B:$D,3,FALSE),"")</f>
        <v>1Q21</v>
      </c>
      <c r="AK77" s="19" t="str">
        <f>IFERROR(VLOOKUP(AK76,Dates!$B:$D,3,FALSE),"")</f>
        <v>2Q21</v>
      </c>
      <c r="AL77" s="19" t="str">
        <f>IFERROR(VLOOKUP(AL76,Dates!$B:$D,3,FALSE),"")</f>
        <v>3Q21</v>
      </c>
      <c r="AM77" s="19" t="str">
        <f>IFERROR(VLOOKUP(AM76,Dates!$B:$D,3,FALSE),"")</f>
        <v>4Q21</v>
      </c>
      <c r="AN77" s="19" t="str">
        <f>IFERROR(VLOOKUP(AN76,Dates!$B:$D,3,FALSE),"")</f>
        <v>1Q22</v>
      </c>
      <c r="AO77" s="19" t="str">
        <f>IFERROR(VLOOKUP(AO76,Dates!$B:$D,3,FALSE),"")</f>
        <v>2Q22</v>
      </c>
      <c r="AP77" s="19" t="str">
        <f>IFERROR(VLOOKUP(AP76,Dates!$B:$D,3,FALSE),"")</f>
        <v>3Q22</v>
      </c>
      <c r="AQ77" s="19" t="str">
        <f>IFERROR(VLOOKUP(AQ76,Dates!$B:$D,3,FALSE),"")</f>
        <v>4Q22</v>
      </c>
      <c r="AR77" s="19" t="str">
        <f>IFERROR(VLOOKUP(AR76,Dates!$B:$D,3,FALSE),"")</f>
        <v>1Q23</v>
      </c>
      <c r="AS77" s="19" t="str">
        <f>IFERROR(VLOOKUP(AS76,Dates!$B:$D,3,FALSE),"")</f>
        <v>2Q23</v>
      </c>
      <c r="AT77" s="19" t="str">
        <f>IFERROR(VLOOKUP(AT76,Dates!$B:$D,3,FALSE),"")</f>
        <v>3Q23</v>
      </c>
      <c r="AU77" s="20" t="str">
        <f>$G$3</f>
        <v>4Q23</v>
      </c>
    </row>
    <row r="78" spans="1:47" x14ac:dyDescent="0.35">
      <c r="A78" s="3"/>
      <c r="B78" s="3"/>
      <c r="C78" s="3"/>
      <c r="D78" s="3"/>
      <c r="E78" s="3"/>
      <c r="F78" s="3"/>
      <c r="G78" s="3"/>
      <c r="H78" s="3"/>
      <c r="I78" s="3"/>
      <c r="J78" s="3"/>
      <c r="K78" s="3"/>
      <c r="L78" s="3"/>
      <c r="M78" s="3"/>
      <c r="N78" s="3"/>
      <c r="O78" s="3"/>
      <c r="P78" s="3"/>
      <c r="Q78" s="3"/>
      <c r="R78" s="3"/>
      <c r="S78" s="3"/>
      <c r="T78" s="3"/>
      <c r="U78" s="3"/>
      <c r="V78" s="3"/>
      <c r="W78" s="3"/>
      <c r="AA78" s="21" t="str">
        <f>'Reported Group Highlights'!A112</f>
        <v>Sales and Marketing %</v>
      </c>
      <c r="AB78" s="23">
        <f>IFERROR(INDEX('Reported Group Highlights'!$A:$AAW,MATCH($AA78,'Reported Group Highlights'!$A:$A,0),MATCH(AB77,'Reported Group Highlights'!$1:$1,0)),"")</f>
        <v>7.6585025130613493E-2</v>
      </c>
      <c r="AC78" s="23">
        <f>IFERROR(INDEX('Reported Group Highlights'!$A:$AAW,MATCH($AA78,'Reported Group Highlights'!$A:$A,0),MATCH(AC77,'Reported Group Highlights'!$1:$1,0)),"")</f>
        <v>7.7906323211076059E-2</v>
      </c>
      <c r="AD78" s="23">
        <f>IFERROR(INDEX('Reported Group Highlights'!$A:$AAW,MATCH($AA78,'Reported Group Highlights'!$A:$A,0),MATCH(AD77,'Reported Group Highlights'!$1:$1,0)),"")</f>
        <v>7.6117476495248151E-2</v>
      </c>
      <c r="AE78" s="23">
        <f>IFERROR(INDEX('Reported Group Highlights'!$A:$AAW,MATCH($AA78,'Reported Group Highlights'!$A:$A,0),MATCH(AE77,'Reported Group Highlights'!$1:$1,0)),"")</f>
        <v>8.2809212875818924E-2</v>
      </c>
      <c r="AF78" s="23">
        <f>IFERROR(INDEX('Reported Group Highlights'!$A:$AAW,MATCH($AA78,'Reported Group Highlights'!$A:$A,0),MATCH(AF77,'Reported Group Highlights'!$1:$1,0)),"")</f>
        <v>6.9722867761577351E-2</v>
      </c>
      <c r="AG78" s="23">
        <f>IFERROR(INDEX('Reported Group Highlights'!$A:$AAW,MATCH($AA78,'Reported Group Highlights'!$A:$A,0),MATCH(AG77,'Reported Group Highlights'!$1:$1,0)),"")</f>
        <v>6.6059135226694446E-2</v>
      </c>
      <c r="AH78" s="23">
        <f>IFERROR(INDEX('Reported Group Highlights'!$A:$AAW,MATCH($AA78,'Reported Group Highlights'!$A:$A,0),MATCH(AH77,'Reported Group Highlights'!$1:$1,0)),"")</f>
        <v>7.1454311391664513E-2</v>
      </c>
      <c r="AI78" s="23">
        <f>IFERROR(INDEX('Reported Group Highlights'!$A:$AAW,MATCH($AA78,'Reported Group Highlights'!$A:$A,0),MATCH(AI77,'Reported Group Highlights'!$1:$1,0)),"")</f>
        <v>7.0434589066108569E-2</v>
      </c>
      <c r="AJ78" s="23">
        <f>IFERROR(INDEX('Reported Group Highlights'!$A:$AAW,MATCH($AA78,'Reported Group Highlights'!$A:$A,0),MATCH(AJ77,'Reported Group Highlights'!$1:$1,0)),"")</f>
        <v>8.4057705627158211E-2</v>
      </c>
      <c r="AK78" s="23">
        <f>IFERROR(INDEX('Reported Group Highlights'!$A:$AAW,MATCH($AA78,'Reported Group Highlights'!$A:$A,0),MATCH(AK77,'Reported Group Highlights'!$1:$1,0)),"")</f>
        <v>9.5145474038611899E-2</v>
      </c>
      <c r="AL78" s="23">
        <f>IFERROR(INDEX('Reported Group Highlights'!$A:$AAW,MATCH($AA78,'Reported Group Highlights'!$A:$A,0),MATCH(AL77,'Reported Group Highlights'!$1:$1,0)),"")</f>
        <v>0.10580935172225471</v>
      </c>
      <c r="AM78" s="23">
        <f>IFERROR(INDEX('Reported Group Highlights'!$A:$AAW,MATCH($AA78,'Reported Group Highlights'!$A:$A,0),MATCH(AM77,'Reported Group Highlights'!$1:$1,0)),"")</f>
        <v>9.7721595367865635E-2</v>
      </c>
      <c r="AN78" s="23">
        <f>IFERROR(INDEX('Reported Group Highlights'!$A:$AAW,MATCH($AA78,'Reported Group Highlights'!$A:$A,0),MATCH(AN77,'Reported Group Highlights'!$1:$1,0)),"")</f>
        <v>0.10807366117680074</v>
      </c>
      <c r="AO78" s="23">
        <f>IFERROR(INDEX('Reported Group Highlights'!$A:$AAW,MATCH($AA78,'Reported Group Highlights'!$A:$A,0),MATCH(AO77,'Reported Group Highlights'!$1:$1,0)),"")</f>
        <v>8.9300167563534566E-2</v>
      </c>
      <c r="AP78" s="23">
        <f>IFERROR(INDEX('Reported Group Highlights'!$A:$AAW,MATCH($AA78,'Reported Group Highlights'!$A:$A,0),MATCH(AP77,'Reported Group Highlights'!$1:$1,0)),"")</f>
        <v>7.8721910485865479E-2</v>
      </c>
      <c r="AQ78" s="23">
        <f>IFERROR(INDEX('Reported Group Highlights'!$A:$AAW,MATCH($AA78,'Reported Group Highlights'!$A:$A,0),MATCH(AQ77,'Reported Group Highlights'!$1:$1,0)),"")</f>
        <v>8.513880566517823E-2</v>
      </c>
      <c r="AR78" s="23">
        <f>IFERROR(INDEX('Reported Group Highlights'!$A:$AAW,MATCH($AA78,'Reported Group Highlights'!$A:$A,0),MATCH(AR77,'Reported Group Highlights'!$1:$1,0)),"")</f>
        <v>7.4914896988654528E-2</v>
      </c>
      <c r="AS78" s="23">
        <f>IFERROR(INDEX('Reported Group Highlights'!$A:$AAW,MATCH($AA78,'Reported Group Highlights'!$A:$A,0),MATCH(AS77,'Reported Group Highlights'!$1:$1,0)),"")</f>
        <v>7.4630503834455589E-2</v>
      </c>
      <c r="AT78" s="23">
        <f>IFERROR(INDEX('Reported Group Highlights'!$A:$AAW,MATCH($AA78,'Reported Group Highlights'!$A:$A,0),MATCH(AT77,'Reported Group Highlights'!$1:$1,0)),"")</f>
        <v>7.7240973003884716E-2</v>
      </c>
      <c r="AU78" s="23">
        <f>IFERROR(INDEX('Reported Group Highlights'!$A:$AAW,MATCH($AA78,'Reported Group Highlights'!$A:$A,0),MATCH(AU77,'Reported Group Highlights'!$1:$1,0)),"")</f>
        <v>7.6903697961654457E-2</v>
      </c>
    </row>
    <row r="79" spans="1:47" x14ac:dyDescent="0.35">
      <c r="A79" s="3"/>
      <c r="B79" s="3"/>
      <c r="C79" s="3"/>
      <c r="D79" s="3"/>
      <c r="E79" s="3"/>
      <c r="F79" s="3"/>
      <c r="G79" s="3"/>
      <c r="H79" s="3"/>
      <c r="I79" s="3"/>
      <c r="J79" s="3"/>
      <c r="K79" s="3"/>
      <c r="L79" s="3"/>
      <c r="M79" s="3"/>
      <c r="N79" s="3"/>
      <c r="O79" s="3"/>
      <c r="P79" s="3"/>
      <c r="Q79" s="3"/>
      <c r="R79" s="3"/>
      <c r="S79" s="3"/>
      <c r="T79" s="3"/>
      <c r="U79" s="3"/>
      <c r="V79" s="3"/>
      <c r="W79" s="3"/>
    </row>
    <row r="80" spans="1:47" x14ac:dyDescent="0.35">
      <c r="A80" s="3"/>
      <c r="B80" s="3"/>
      <c r="C80" s="3"/>
      <c r="D80" s="3"/>
      <c r="E80" s="3"/>
      <c r="F80" s="3"/>
      <c r="G80" s="3"/>
      <c r="H80" s="3"/>
      <c r="I80" s="3"/>
      <c r="J80" s="3"/>
      <c r="K80" s="3"/>
      <c r="L80" s="3"/>
      <c r="M80" s="3"/>
      <c r="N80" s="3"/>
      <c r="O80" s="3"/>
      <c r="P80" s="3"/>
      <c r="Q80" s="3"/>
      <c r="R80" s="3"/>
      <c r="S80" s="3"/>
      <c r="T80" s="3"/>
      <c r="U80" s="3"/>
      <c r="V80" s="3"/>
      <c r="W80" s="3"/>
    </row>
    <row r="81" spans="1:47" x14ac:dyDescent="0.35">
      <c r="A81" s="3"/>
      <c r="B81" s="3"/>
      <c r="C81" s="3"/>
      <c r="D81" s="3"/>
      <c r="E81" s="3"/>
      <c r="F81" s="3"/>
      <c r="G81" s="3"/>
      <c r="H81" s="3"/>
      <c r="I81" s="3"/>
      <c r="J81" s="3"/>
      <c r="K81" s="3"/>
      <c r="L81" s="3"/>
      <c r="M81" s="3"/>
      <c r="N81" s="3"/>
      <c r="O81" s="3"/>
      <c r="P81" s="3"/>
      <c r="Q81" s="3"/>
      <c r="R81" s="3"/>
      <c r="S81" s="3"/>
      <c r="T81" s="3"/>
      <c r="U81" s="3"/>
      <c r="V81" s="3"/>
      <c r="W81" s="3"/>
    </row>
    <row r="82" spans="1:47" x14ac:dyDescent="0.35">
      <c r="A82" s="3"/>
      <c r="B82" s="3"/>
      <c r="C82" s="3"/>
      <c r="D82" s="3"/>
      <c r="E82" s="3"/>
      <c r="F82" s="3"/>
      <c r="G82" s="3"/>
      <c r="H82" s="3"/>
      <c r="I82" s="3"/>
      <c r="J82" s="3"/>
      <c r="K82" s="3"/>
      <c r="L82" s="3"/>
      <c r="M82" s="3"/>
      <c r="N82" s="3"/>
      <c r="O82" s="3"/>
      <c r="P82" s="3"/>
      <c r="Q82" s="3"/>
      <c r="R82" s="3"/>
      <c r="S82" s="3"/>
      <c r="T82" s="3"/>
      <c r="U82" s="3"/>
      <c r="V82" s="3"/>
      <c r="W82" s="3"/>
    </row>
    <row r="83" spans="1:47" x14ac:dyDescent="0.35">
      <c r="A83" s="3"/>
      <c r="B83" s="3"/>
      <c r="C83" s="3"/>
      <c r="D83" s="3"/>
      <c r="E83" s="3"/>
      <c r="F83" s="3"/>
      <c r="G83" s="3"/>
      <c r="H83" s="3"/>
      <c r="I83" s="3"/>
      <c r="J83" s="3"/>
      <c r="K83" s="3" t="s">
        <v>172</v>
      </c>
      <c r="L83" s="3" t="s">
        <v>190</v>
      </c>
      <c r="M83" s="3"/>
      <c r="N83" s="3"/>
      <c r="O83" s="3"/>
      <c r="P83" s="3"/>
      <c r="Q83" s="3"/>
      <c r="R83" s="3"/>
      <c r="S83" s="3"/>
      <c r="T83" s="3"/>
      <c r="U83" s="3"/>
      <c r="V83" s="3"/>
      <c r="W83" s="3"/>
    </row>
    <row r="84" spans="1:47" x14ac:dyDescent="0.35">
      <c r="A84" s="1" t="s">
        <v>131</v>
      </c>
      <c r="B84" s="1" t="s">
        <v>69</v>
      </c>
      <c r="C84" s="1"/>
      <c r="D84" s="1"/>
      <c r="E84" s="1"/>
      <c r="F84" s="1"/>
      <c r="G84" s="1"/>
      <c r="H84" s="1"/>
      <c r="I84" s="1"/>
      <c r="J84" s="1"/>
      <c r="K84" s="1"/>
      <c r="L84" s="1"/>
      <c r="M84" s="1"/>
      <c r="N84" s="1"/>
      <c r="O84" s="1"/>
      <c r="P84" s="1"/>
      <c r="Q84" s="1"/>
      <c r="R84" s="1"/>
      <c r="S84" s="1"/>
      <c r="T84" s="1"/>
      <c r="U84" s="3"/>
      <c r="V84" s="3"/>
      <c r="W84" s="3"/>
    </row>
    <row r="85" spans="1:47" x14ac:dyDescent="0.35">
      <c r="A85" s="3"/>
      <c r="B85" s="3"/>
      <c r="C85" s="3"/>
      <c r="D85" s="3"/>
      <c r="E85" s="3"/>
      <c r="F85" s="3"/>
      <c r="G85" s="3"/>
      <c r="H85" s="3"/>
      <c r="I85" s="3"/>
      <c r="J85" s="3"/>
      <c r="K85" s="3"/>
      <c r="L85" s="3"/>
      <c r="M85" s="3"/>
      <c r="N85" s="3"/>
      <c r="O85" s="3"/>
      <c r="P85" s="3"/>
      <c r="Q85" s="3"/>
      <c r="R85" s="3"/>
      <c r="S85" s="3"/>
      <c r="T85" s="3"/>
      <c r="U85" s="3"/>
      <c r="V85" s="3"/>
      <c r="W85" s="3"/>
    </row>
    <row r="86" spans="1:47" x14ac:dyDescent="0.35">
      <c r="A86" s="3"/>
      <c r="B86" s="3"/>
      <c r="C86" s="3"/>
      <c r="D86" s="3"/>
      <c r="E86" s="3"/>
      <c r="F86" s="3"/>
      <c r="G86" s="3"/>
      <c r="H86" s="3"/>
      <c r="I86" s="3"/>
      <c r="J86" s="3"/>
      <c r="K86" s="3"/>
      <c r="L86" s="3"/>
      <c r="M86" s="3"/>
      <c r="N86" s="3"/>
      <c r="O86" s="3"/>
      <c r="P86" s="3"/>
      <c r="Q86" s="3"/>
      <c r="R86" s="3"/>
      <c r="S86" s="3"/>
      <c r="T86" s="3"/>
      <c r="U86" s="3"/>
      <c r="V86" s="3"/>
      <c r="W86" s="3"/>
    </row>
    <row r="87" spans="1:47" x14ac:dyDescent="0.35">
      <c r="A87" s="3"/>
      <c r="B87" s="3"/>
      <c r="C87" s="3"/>
      <c r="D87" s="3"/>
      <c r="E87" s="3"/>
      <c r="F87" s="3"/>
      <c r="G87" s="3"/>
      <c r="H87" s="3"/>
      <c r="I87" s="3"/>
      <c r="J87" s="3"/>
      <c r="K87" s="3"/>
      <c r="L87" s="3"/>
      <c r="M87" s="3"/>
      <c r="N87" s="3"/>
      <c r="O87" s="3"/>
      <c r="P87" s="3"/>
      <c r="Q87" s="3"/>
      <c r="R87" s="3"/>
      <c r="S87" s="3"/>
      <c r="T87" s="3"/>
      <c r="U87" s="3"/>
      <c r="V87" s="3"/>
      <c r="W87" s="3"/>
    </row>
    <row r="88" spans="1:47" x14ac:dyDescent="0.35">
      <c r="A88" s="3"/>
      <c r="B88" s="3"/>
      <c r="C88" s="3"/>
      <c r="D88" s="3"/>
      <c r="E88" s="3"/>
      <c r="F88" s="3"/>
      <c r="G88" s="3"/>
      <c r="H88" s="3"/>
      <c r="I88" s="3"/>
      <c r="J88" s="3"/>
      <c r="K88" s="3"/>
      <c r="L88" s="3"/>
      <c r="M88" s="3"/>
      <c r="N88" s="3"/>
      <c r="O88" s="3"/>
      <c r="P88" s="3"/>
      <c r="Q88" s="3"/>
      <c r="R88" s="3"/>
      <c r="S88" s="3"/>
      <c r="T88" s="3"/>
      <c r="U88" s="3"/>
      <c r="V88" s="3"/>
      <c r="W88" s="3"/>
      <c r="AB88" s="19">
        <f t="shared" ref="AB88:AR88" si="93">AC88-1</f>
        <v>29</v>
      </c>
      <c r="AC88" s="19">
        <f t="shared" si="93"/>
        <v>30</v>
      </c>
      <c r="AD88" s="19">
        <f t="shared" si="93"/>
        <v>31</v>
      </c>
      <c r="AE88" s="19">
        <f t="shared" si="93"/>
        <v>32</v>
      </c>
      <c r="AF88" s="19">
        <f t="shared" si="93"/>
        <v>33</v>
      </c>
      <c r="AG88" s="19">
        <f t="shared" si="93"/>
        <v>34</v>
      </c>
      <c r="AH88" s="19">
        <f t="shared" si="93"/>
        <v>35</v>
      </c>
      <c r="AI88" s="19">
        <f t="shared" si="93"/>
        <v>36</v>
      </c>
      <c r="AJ88" s="19">
        <f t="shared" si="93"/>
        <v>37</v>
      </c>
      <c r="AK88" s="19">
        <f t="shared" si="93"/>
        <v>38</v>
      </c>
      <c r="AL88" s="19">
        <f t="shared" si="93"/>
        <v>39</v>
      </c>
      <c r="AM88" s="19">
        <f t="shared" si="93"/>
        <v>40</v>
      </c>
      <c r="AN88" s="19">
        <f t="shared" si="93"/>
        <v>41</v>
      </c>
      <c r="AO88" s="19">
        <f t="shared" si="93"/>
        <v>42</v>
      </c>
      <c r="AP88" s="19">
        <f t="shared" si="93"/>
        <v>43</v>
      </c>
      <c r="AQ88" s="19">
        <f t="shared" si="93"/>
        <v>44</v>
      </c>
      <c r="AR88" s="19">
        <f t="shared" si="93"/>
        <v>45</v>
      </c>
      <c r="AS88" s="19">
        <f t="shared" ref="AS88" si="94">AT88-1</f>
        <v>46</v>
      </c>
      <c r="AT88" s="19">
        <f>AU88-1</f>
        <v>47</v>
      </c>
      <c r="AU88" s="19">
        <f>VLOOKUP(AU89,Dates!$A:$D,2,FALSE)</f>
        <v>48</v>
      </c>
    </row>
    <row r="89" spans="1:47" x14ac:dyDescent="0.35">
      <c r="A89" s="3"/>
      <c r="B89" s="3"/>
      <c r="C89" s="3"/>
      <c r="D89" s="3"/>
      <c r="E89" s="3"/>
      <c r="F89" s="3"/>
      <c r="G89" s="3"/>
      <c r="H89" s="3"/>
      <c r="I89" s="3"/>
      <c r="J89" s="3"/>
      <c r="K89" s="3"/>
      <c r="L89" s="3"/>
      <c r="M89" s="3"/>
      <c r="N89" s="3"/>
      <c r="O89" s="3"/>
      <c r="P89" s="3"/>
      <c r="Q89" s="3"/>
      <c r="R89" s="3"/>
      <c r="S89" s="3"/>
      <c r="T89" s="3"/>
      <c r="U89" s="3"/>
      <c r="V89" s="3"/>
      <c r="W89" s="3"/>
      <c r="AB89" s="19" t="str">
        <f>IFERROR(VLOOKUP(AB88,Dates!$B:$D,3,FALSE),"")</f>
        <v>1Q19</v>
      </c>
      <c r="AC89" s="19" t="str">
        <f>IFERROR(VLOOKUP(AC88,Dates!$B:$D,3,FALSE),"")</f>
        <v>2Q19</v>
      </c>
      <c r="AD89" s="19" t="str">
        <f>IFERROR(VLOOKUP(AD88,Dates!$B:$D,3,FALSE),"")</f>
        <v>3Q19</v>
      </c>
      <c r="AE89" s="19" t="str">
        <f>IFERROR(VLOOKUP(AE88,Dates!$B:$D,3,FALSE),"")</f>
        <v>4Q19</v>
      </c>
      <c r="AF89" s="19" t="str">
        <f>IFERROR(VLOOKUP(AF88,Dates!$B:$D,3,FALSE),"")</f>
        <v>1Q20</v>
      </c>
      <c r="AG89" s="19" t="str">
        <f>IFERROR(VLOOKUP(AG88,Dates!$B:$D,3,FALSE),"")</f>
        <v>2Q20</v>
      </c>
      <c r="AH89" s="19" t="str">
        <f>IFERROR(VLOOKUP(AH88,Dates!$B:$D,3,FALSE),"")</f>
        <v>3Q20</v>
      </c>
      <c r="AI89" s="19" t="str">
        <f>IFERROR(VLOOKUP(AI88,Dates!$B:$D,3,FALSE),"")</f>
        <v>4Q20</v>
      </c>
      <c r="AJ89" s="19" t="str">
        <f>IFERROR(VLOOKUP(AJ88,Dates!$B:$D,3,FALSE),"")</f>
        <v>1Q21</v>
      </c>
      <c r="AK89" s="19" t="str">
        <f>IFERROR(VLOOKUP(AK88,Dates!$B:$D,3,FALSE),"")</f>
        <v>2Q21</v>
      </c>
      <c r="AL89" s="19" t="str">
        <f>IFERROR(VLOOKUP(AL88,Dates!$B:$D,3,FALSE),"")</f>
        <v>3Q21</v>
      </c>
      <c r="AM89" s="19" t="str">
        <f>IFERROR(VLOOKUP(AM88,Dates!$B:$D,3,FALSE),"")</f>
        <v>4Q21</v>
      </c>
      <c r="AN89" s="19" t="str">
        <f>IFERROR(VLOOKUP(AN88,Dates!$B:$D,3,FALSE),"")</f>
        <v>1Q22</v>
      </c>
      <c r="AO89" s="19" t="str">
        <f>IFERROR(VLOOKUP(AO88,Dates!$B:$D,3,FALSE),"")</f>
        <v>2Q22</v>
      </c>
      <c r="AP89" s="19" t="str">
        <f>IFERROR(VLOOKUP(AP88,Dates!$B:$D,3,FALSE),"")</f>
        <v>3Q22</v>
      </c>
      <c r="AQ89" s="19" t="str">
        <f>IFERROR(VLOOKUP(AQ88,Dates!$B:$D,3,FALSE),"")</f>
        <v>4Q22</v>
      </c>
      <c r="AR89" s="19" t="str">
        <f>IFERROR(VLOOKUP(AR88,Dates!$B:$D,3,FALSE),"")</f>
        <v>1Q23</v>
      </c>
      <c r="AS89" s="19" t="str">
        <f>IFERROR(VLOOKUP(AS88,Dates!$B:$D,3,FALSE),"")</f>
        <v>2Q23</v>
      </c>
      <c r="AT89" s="19" t="str">
        <f>IFERROR(VLOOKUP(AT88,Dates!$B:$D,3,FALSE),"")</f>
        <v>3Q23</v>
      </c>
      <c r="AU89" s="20" t="str">
        <f>$G$3</f>
        <v>4Q23</v>
      </c>
    </row>
    <row r="90" spans="1:47" x14ac:dyDescent="0.35">
      <c r="A90" s="3"/>
      <c r="B90" s="3"/>
      <c r="C90" s="3"/>
      <c r="D90" s="3"/>
      <c r="E90" s="3"/>
      <c r="F90" s="3"/>
      <c r="G90" s="3"/>
      <c r="H90" s="3"/>
      <c r="I90" s="3"/>
      <c r="J90" s="3"/>
      <c r="K90" s="3"/>
      <c r="L90" s="3"/>
      <c r="M90" s="3"/>
      <c r="N90" s="3"/>
      <c r="O90" s="3"/>
      <c r="P90" s="3"/>
      <c r="Q90" s="3"/>
      <c r="R90" s="3"/>
      <c r="S90" s="3"/>
      <c r="T90" s="3"/>
      <c r="U90" s="3"/>
      <c r="V90" s="3"/>
      <c r="W90" s="3"/>
      <c r="AA90" s="21" t="str">
        <f>'Reported Group Highlights'!A102</f>
        <v>Interconnect YoY</v>
      </c>
      <c r="AB90" s="23">
        <f>IFERROR(INDEX('Reported Group Highlights'!$A:$AAW,MATCH($AA90,'Reported Group Highlights'!$A:$A,0),MATCH(AB89,'Reported Group Highlights'!$1:$1,0)),"")</f>
        <v>-8.2304526748971152E-2</v>
      </c>
      <c r="AC90" s="23">
        <f>IFERROR(INDEX('Reported Group Highlights'!$A:$AAW,MATCH($AA90,'Reported Group Highlights'!$A:$A,0),MATCH(AC89,'Reported Group Highlights'!$1:$1,0)),"")</f>
        <v>-0.15686274509803921</v>
      </c>
      <c r="AD90" s="23">
        <f>IFERROR(INDEX('Reported Group Highlights'!$A:$AAW,MATCH($AA90,'Reported Group Highlights'!$A:$A,0),MATCH(AD89,'Reported Group Highlights'!$1:$1,0)),"")</f>
        <v>-0.28674351585014413</v>
      </c>
      <c r="AE90" s="23">
        <f>IFERROR(INDEX('Reported Group Highlights'!$A:$AAW,MATCH($AA90,'Reported Group Highlights'!$A:$A,0),MATCH(AE89,'Reported Group Highlights'!$1:$1,0)),"")</f>
        <v>-0.27186009538950717</v>
      </c>
      <c r="AF90" s="23">
        <f>IFERROR(INDEX('Reported Group Highlights'!$A:$AAW,MATCH($AA90,'Reported Group Highlights'!$A:$A,0),MATCH(AF89,'Reported Group Highlights'!$1:$1,0)),"")</f>
        <v>-3.5558295964125519E-2</v>
      </c>
      <c r="AG90" s="23">
        <f>IFERROR(INDEX('Reported Group Highlights'!$A:$AAW,MATCH($AA90,'Reported Group Highlights'!$A:$A,0),MATCH(AG89,'Reported Group Highlights'!$1:$1,0)),"")</f>
        <v>-0.25097286821705433</v>
      </c>
      <c r="AH90" s="23">
        <f>IFERROR(INDEX('Reported Group Highlights'!$A:$AAW,MATCH($AA90,'Reported Group Highlights'!$A:$A,0),MATCH(AH89,'Reported Group Highlights'!$1:$1,0)),"")</f>
        <v>-0.22585454545454575</v>
      </c>
      <c r="AI90" s="23">
        <f>IFERROR(INDEX('Reported Group Highlights'!$A:$AAW,MATCH($AA90,'Reported Group Highlights'!$A:$A,0),MATCH(AI89,'Reported Group Highlights'!$1:$1,0)),"")</f>
        <v>-0.21200218340611365</v>
      </c>
      <c r="AJ90" s="23">
        <f>IFERROR(INDEX('Reported Group Highlights'!$A:$AAW,MATCH($AA90,'Reported Group Highlights'!$A:$A,0),MATCH(AJ89,'Reported Group Highlights'!$1:$1,0)),"")</f>
        <v>-0.2067461599800996</v>
      </c>
      <c r="AK90" s="23">
        <f>IFERROR(INDEX('Reported Group Highlights'!$A:$AAW,MATCH($AA90,'Reported Group Highlights'!$A:$A,0),MATCH(AK89,'Reported Group Highlights'!$1:$1,0)),"")</f>
        <v>-9.6574885251670017E-2</v>
      </c>
      <c r="AL90" s="23">
        <f>IFERROR(INDEX('Reported Group Highlights'!$A:$AAW,MATCH($AA90,'Reported Group Highlights'!$A:$A,0),MATCH(AL89,'Reported Group Highlights'!$1:$1,0)),"")</f>
        <v>-0.10958450112473261</v>
      </c>
      <c r="AM90" s="23">
        <f>IFERROR(INDEX('Reported Group Highlights'!$A:$AAW,MATCH($AA90,'Reported Group Highlights'!$A:$A,0),MATCH(AM89,'Reported Group Highlights'!$1:$1,0)),"")</f>
        <v>0.39806817898438096</v>
      </c>
      <c r="AN90" s="23">
        <f>IFERROR(INDEX('Reported Group Highlights'!$A:$AAW,MATCH($AA90,'Reported Group Highlights'!$A:$A,0),MATCH(AN89,'Reported Group Highlights'!$1:$1,0)),"")</f>
        <v>0.36622207373150339</v>
      </c>
      <c r="AO90" s="23">
        <f>IFERROR(INDEX('Reported Group Highlights'!$A:$AAW,MATCH($AA90,'Reported Group Highlights'!$A:$A,0),MATCH(AO89,'Reported Group Highlights'!$1:$1,0)),"")</f>
        <v>0.95126757013735319</v>
      </c>
      <c r="AP90" s="23">
        <f>IFERROR(INDEX('Reported Group Highlights'!$A:$AAW,MATCH($AA90,'Reported Group Highlights'!$A:$A,0),MATCH(AP89,'Reported Group Highlights'!$1:$1,0)),"")</f>
        <v>1.5502258146766343</v>
      </c>
      <c r="AQ90" s="23">
        <f>IFERROR(INDEX('Reported Group Highlights'!$A:$AAW,MATCH($AA90,'Reported Group Highlights'!$A:$A,0),MATCH(AQ89,'Reported Group Highlights'!$1:$1,0)),"")</f>
        <v>0.7020910998935721</v>
      </c>
      <c r="AR90" s="23">
        <f>IFERROR(INDEX('Reported Group Highlights'!$A:$AAW,MATCH($AA90,'Reported Group Highlights'!$A:$A,0),MATCH(AR89,'Reported Group Highlights'!$1:$1,0)),"")</f>
        <v>0.39188707982066617</v>
      </c>
      <c r="AS90" s="23">
        <f>IFERROR(INDEX('Reported Group Highlights'!$A:$AAW,MATCH($AA90,'Reported Group Highlights'!$A:$A,0),MATCH(AS89,'Reported Group Highlights'!$1:$1,0)),"")</f>
        <v>0.30286734142733041</v>
      </c>
      <c r="AT90" s="23">
        <f>IFERROR(INDEX('Reported Group Highlights'!$A:$AAW,MATCH($AA90,'Reported Group Highlights'!$A:$A,0),MATCH(AT89,'Reported Group Highlights'!$1:$1,0)),"")</f>
        <v>-9.9434586742667919E-2</v>
      </c>
      <c r="AU90" s="23">
        <f>IFERROR(INDEX('Reported Group Highlights'!$A:$AAW,MATCH($AA90,'Reported Group Highlights'!$A:$A,0),MATCH(AU89,'Reported Group Highlights'!$1:$1,0)),"")</f>
        <v>-7.8840826763266758E-3</v>
      </c>
    </row>
    <row r="91" spans="1:47" x14ac:dyDescent="0.35">
      <c r="A91" s="3"/>
      <c r="B91" s="3"/>
      <c r="C91" s="3"/>
      <c r="D91" s="3"/>
      <c r="E91" s="3"/>
      <c r="F91" s="3"/>
      <c r="G91" s="3"/>
      <c r="H91" s="3"/>
      <c r="I91" s="3"/>
      <c r="J91" s="3"/>
      <c r="K91" s="3"/>
      <c r="L91" s="3"/>
      <c r="M91" s="3"/>
      <c r="N91" s="3"/>
      <c r="O91" s="3"/>
      <c r="P91" s="3"/>
      <c r="Q91" s="3"/>
      <c r="R91" s="3"/>
      <c r="S91" s="3"/>
      <c r="T91" s="3"/>
      <c r="U91" s="3"/>
      <c r="V91" s="3"/>
      <c r="W91" s="3"/>
      <c r="AA91" s="21" t="str">
        <f>'Reported Group Highlights'!A103</f>
        <v>Salaries and Benefits YoY</v>
      </c>
      <c r="AB91" s="23">
        <f>IFERROR(INDEX('Reported Group Highlights'!$A:$AAW,MATCH($AA91,'Reported Group Highlights'!$A:$A,0),MATCH(AB89,'Reported Group Highlights'!$1:$1,0)),"")</f>
        <v>0.14448669201520903</v>
      </c>
      <c r="AC91" s="23">
        <f>IFERROR(INDEX('Reported Group Highlights'!$A:$AAW,MATCH($AA91,'Reported Group Highlights'!$A:$A,0),MATCH(AC89,'Reported Group Highlights'!$1:$1,0)),"")</f>
        <v>0.2234848484848484</v>
      </c>
      <c r="AD91" s="23">
        <f>IFERROR(INDEX('Reported Group Highlights'!$A:$AAW,MATCH($AA91,'Reported Group Highlights'!$A:$A,0),MATCH(AD89,'Reported Group Highlights'!$1:$1,0)),"")</f>
        <v>0.41025641025641035</v>
      </c>
      <c r="AE91" s="23">
        <f>IFERROR(INDEX('Reported Group Highlights'!$A:$AAW,MATCH($AA91,'Reported Group Highlights'!$A:$A,0),MATCH(AE89,'Reported Group Highlights'!$1:$1,0)),"")</f>
        <v>0.17753623188405787</v>
      </c>
      <c r="AF91" s="23">
        <f>IFERROR(INDEX('Reported Group Highlights'!$A:$AAW,MATCH($AA91,'Reported Group Highlights'!$A:$A,0),MATCH(AF89,'Reported Group Highlights'!$1:$1,0)),"")</f>
        <v>1.9933554817275656E-2</v>
      </c>
      <c r="AG91" s="23">
        <f>IFERROR(INDEX('Reported Group Highlights'!$A:$AAW,MATCH($AA91,'Reported Group Highlights'!$A:$A,0),MATCH(AG89,'Reported Group Highlights'!$1:$1,0)),"")</f>
        <v>-5.8823529411764719E-2</v>
      </c>
      <c r="AH91" s="23">
        <f>IFERROR(INDEX('Reported Group Highlights'!$A:$AAW,MATCH($AA91,'Reported Group Highlights'!$A:$A,0),MATCH(AH89,'Reported Group Highlights'!$1:$1,0)),"")</f>
        <v>3.4036363636363642E-2</v>
      </c>
      <c r="AI91" s="23">
        <f>IFERROR(INDEX('Reported Group Highlights'!$A:$AAW,MATCH($AA91,'Reported Group Highlights'!$A:$A,0),MATCH(AI89,'Reported Group Highlights'!$1:$1,0)),"")</f>
        <v>-9.1323076923078839E-3</v>
      </c>
      <c r="AJ91" s="23">
        <f>IFERROR(INDEX('Reported Group Highlights'!$A:$AAW,MATCH($AA91,'Reported Group Highlights'!$A:$A,0),MATCH(AJ89,'Reported Group Highlights'!$1:$1,0)),"")</f>
        <v>-0.23362214983713359</v>
      </c>
      <c r="AK91" s="23">
        <f>IFERROR(INDEX('Reported Group Highlights'!$A:$AAW,MATCH($AA91,'Reported Group Highlights'!$A:$A,0),MATCH(AK89,'Reported Group Highlights'!$1:$1,0)),"")</f>
        <v>0.11385197368421052</v>
      </c>
      <c r="AL91" s="23">
        <f>IFERROR(INDEX('Reported Group Highlights'!$A:$AAW,MATCH($AA91,'Reported Group Highlights'!$A:$A,0),MATCH(AL89,'Reported Group Highlights'!$1:$1,0)),"")</f>
        <v>-0.32581352276457076</v>
      </c>
      <c r="AM91" s="23">
        <f>IFERROR(INDEX('Reported Group Highlights'!$A:$AAW,MATCH($AA91,'Reported Group Highlights'!$A:$A,0),MATCH(AM89,'Reported Group Highlights'!$1:$1,0)),"")</f>
        <v>-0.15580439211010078</v>
      </c>
      <c r="AN91" s="23">
        <f>IFERROR(INDEX('Reported Group Highlights'!$A:$AAW,MATCH($AA91,'Reported Group Highlights'!$A:$A,0),MATCH(AN89,'Reported Group Highlights'!$1:$1,0)),"")</f>
        <v>0.25649231972390107</v>
      </c>
      <c r="AO91" s="23">
        <f>IFERROR(INDEX('Reported Group Highlights'!$A:$AAW,MATCH($AA91,'Reported Group Highlights'!$A:$A,0),MATCH(AO89,'Reported Group Highlights'!$1:$1,0)),"")</f>
        <v>-0.19629013824122665</v>
      </c>
      <c r="AP91" s="23">
        <f>IFERROR(INDEX('Reported Group Highlights'!$A:$AAW,MATCH($AA91,'Reported Group Highlights'!$A:$A,0),MATCH(AP89,'Reported Group Highlights'!$1:$1,0)),"")</f>
        <v>0.41319864031922937</v>
      </c>
      <c r="AQ91" s="23">
        <f>IFERROR(INDEX('Reported Group Highlights'!$A:$AAW,MATCH($AA91,'Reported Group Highlights'!$A:$A,0),MATCH(AQ89,'Reported Group Highlights'!$1:$1,0)),"")</f>
        <v>0.59144479838739383</v>
      </c>
      <c r="AR91" s="23">
        <f>IFERROR(INDEX('Reported Group Highlights'!$A:$AAW,MATCH($AA91,'Reported Group Highlights'!$A:$A,0),MATCH(AR89,'Reported Group Highlights'!$1:$1,0)),"")</f>
        <v>0.11979365750528537</v>
      </c>
      <c r="AS91" s="23">
        <f>IFERROR(INDEX('Reported Group Highlights'!$A:$AAW,MATCH($AA91,'Reported Group Highlights'!$A:$A,0),MATCH(AS89,'Reported Group Highlights'!$1:$1,0)),"")</f>
        <v>0.35361663818920075</v>
      </c>
      <c r="AT91" s="23">
        <f>IFERROR(INDEX('Reported Group Highlights'!$A:$AAW,MATCH($AA91,'Reported Group Highlights'!$A:$A,0),MATCH(AT89,'Reported Group Highlights'!$1:$1,0)),"")</f>
        <v>0.1068770146903224</v>
      </c>
      <c r="AU91" s="23">
        <f>IFERROR(INDEX('Reported Group Highlights'!$A:$AAW,MATCH($AA91,'Reported Group Highlights'!$A:$A,0),MATCH(AU89,'Reported Group Highlights'!$1:$1,0)),"")</f>
        <v>-0.20728908324800632</v>
      </c>
    </row>
    <row r="92" spans="1:47" x14ac:dyDescent="0.35">
      <c r="A92" s="3"/>
      <c r="B92" s="3"/>
      <c r="C92" s="3"/>
      <c r="D92" s="3"/>
      <c r="E92" s="3"/>
      <c r="F92" s="3"/>
      <c r="G92" s="3"/>
      <c r="H92" s="3"/>
      <c r="I92" s="3"/>
      <c r="J92" s="3"/>
      <c r="K92" s="3"/>
      <c r="L92" s="3"/>
      <c r="M92" s="3"/>
      <c r="N92" s="3"/>
      <c r="O92" s="3"/>
      <c r="P92" s="3"/>
      <c r="Q92" s="3"/>
      <c r="R92" s="3"/>
      <c r="S92" s="3"/>
      <c r="T92" s="3"/>
      <c r="U92" s="3"/>
      <c r="V92" s="3"/>
      <c r="W92" s="3"/>
      <c r="AA92" s="21" t="str">
        <f>'Reported Group Highlights'!A104</f>
        <v>Sales and Marketing YoY</v>
      </c>
      <c r="AB92" s="23">
        <f>IFERROR(INDEX('Reported Group Highlights'!$A:$AAW,MATCH($AA92,'Reported Group Highlights'!$A:$A,0),MATCH(AB89,'Reported Group Highlights'!$1:$1,0)),"")</f>
        <v>-0.20244328097731235</v>
      </c>
      <c r="AC92" s="23">
        <f>IFERROR(INDEX('Reported Group Highlights'!$A:$AAW,MATCH($AA92,'Reported Group Highlights'!$A:$A,0),MATCH(AC89,'Reported Group Highlights'!$1:$1,0)),"")</f>
        <v>-0.14634146341463417</v>
      </c>
      <c r="AD92" s="23">
        <f>IFERROR(INDEX('Reported Group Highlights'!$A:$AAW,MATCH($AA92,'Reported Group Highlights'!$A:$A,0),MATCH(AD89,'Reported Group Highlights'!$1:$1,0)),"")</f>
        <v>0.12328767123287676</v>
      </c>
      <c r="AE92" s="23">
        <f>IFERROR(INDEX('Reported Group Highlights'!$A:$AAW,MATCH($AA92,'Reported Group Highlights'!$A:$A,0),MATCH(AE89,'Reported Group Highlights'!$1:$1,0)),"")</f>
        <v>0.16960352422907499</v>
      </c>
      <c r="AF92" s="23">
        <f>IFERROR(INDEX('Reported Group Highlights'!$A:$AAW,MATCH($AA92,'Reported Group Highlights'!$A:$A,0),MATCH(AF89,'Reported Group Highlights'!$1:$1,0)),"")</f>
        <v>-8.7527352297592786E-3</v>
      </c>
      <c r="AG92" s="23">
        <f>IFERROR(INDEX('Reported Group Highlights'!$A:$AAW,MATCH($AA92,'Reported Group Highlights'!$A:$A,0),MATCH(AG89,'Reported Group Highlights'!$1:$1,0)),"")</f>
        <v>-0.11224489795918369</v>
      </c>
      <c r="AH92" s="23">
        <f>IFERROR(INDEX('Reported Group Highlights'!$A:$AAW,MATCH($AA92,'Reported Group Highlights'!$A:$A,0),MATCH(AH89,'Reported Group Highlights'!$1:$1,0)),"")</f>
        <v>-4.5243902439024319E-2</v>
      </c>
      <c r="AI92" s="23">
        <f>IFERROR(INDEX('Reported Group Highlights'!$A:$AAW,MATCH($AA92,'Reported Group Highlights'!$A:$A,0),MATCH(AI89,'Reported Group Highlights'!$1:$1,0)),"")</f>
        <v>-0.15731261770244798</v>
      </c>
      <c r="AJ92" s="23">
        <f>IFERROR(INDEX('Reported Group Highlights'!$A:$AAW,MATCH($AA92,'Reported Group Highlights'!$A:$A,0),MATCH(AJ89,'Reported Group Highlights'!$1:$1,0)),"")</f>
        <v>0.15924724061810158</v>
      </c>
      <c r="AK92" s="23">
        <f>IFERROR(INDEX('Reported Group Highlights'!$A:$AAW,MATCH($AA92,'Reported Group Highlights'!$A:$A,0),MATCH(AK89,'Reported Group Highlights'!$1:$1,0)),"")</f>
        <v>0.47132873563218358</v>
      </c>
      <c r="AL92" s="23">
        <f>IFERROR(INDEX('Reported Group Highlights'!$A:$AAW,MATCH($AA92,'Reported Group Highlights'!$A:$A,0),MATCH(AL89,'Reported Group Highlights'!$1:$1,0)),"")</f>
        <v>0.53756120407033725</v>
      </c>
      <c r="AM92" s="23">
        <f>IFERROR(INDEX('Reported Group Highlights'!$A:$AAW,MATCH($AA92,'Reported Group Highlights'!$A:$A,0),MATCH(AM89,'Reported Group Highlights'!$1:$1,0)),"")</f>
        <v>0.5186415981513719</v>
      </c>
      <c r="AN92" s="23">
        <f>IFERROR(INDEX('Reported Group Highlights'!$A:$AAW,MATCH($AA92,'Reported Group Highlights'!$A:$A,0),MATCH(AN89,'Reported Group Highlights'!$1:$1,0)),"")</f>
        <v>0.38751644802614171</v>
      </c>
      <c r="AO92" s="23">
        <f>IFERROR(INDEX('Reported Group Highlights'!$A:$AAW,MATCH($AA92,'Reported Group Highlights'!$A:$A,0),MATCH(AO89,'Reported Group Highlights'!$1:$1,0)),"")</f>
        <v>2.3103676714143706E-2</v>
      </c>
      <c r="AP92" s="23">
        <f>IFERROR(INDEX('Reported Group Highlights'!$A:$AAW,MATCH($AA92,'Reported Group Highlights'!$A:$A,0),MATCH(AP89,'Reported Group Highlights'!$1:$1,0)),"")</f>
        <v>-0.18029391322166444</v>
      </c>
      <c r="AQ92" s="23">
        <f>IFERROR(INDEX('Reported Group Highlights'!$A:$AAW,MATCH($AA92,'Reported Group Highlights'!$A:$A,0),MATCH(AQ89,'Reported Group Highlights'!$1:$1,0)),"")</f>
        <v>-5.4498471029016726E-2</v>
      </c>
      <c r="AR92" s="23">
        <f>IFERROR(INDEX('Reported Group Highlights'!$A:$AAW,MATCH($AA92,'Reported Group Highlights'!$A:$A,0),MATCH(AR89,'Reported Group Highlights'!$1:$1,0)),"")</f>
        <v>-0.22402314452012584</v>
      </c>
      <c r="AS92" s="23">
        <f>IFERROR(INDEX('Reported Group Highlights'!$A:$AAW,MATCH($AA92,'Reported Group Highlights'!$A:$A,0),MATCH(AS89,'Reported Group Highlights'!$1:$1,0)),"")</f>
        <v>-6.3469834991562335E-2</v>
      </c>
      <c r="AT92" s="23">
        <f>IFERROR(INDEX('Reported Group Highlights'!$A:$AAW,MATCH($AA92,'Reported Group Highlights'!$A:$A,0),MATCH(AT89,'Reported Group Highlights'!$1:$1,0)),"")</f>
        <v>5.7207669803862826E-2</v>
      </c>
      <c r="AU92" s="23">
        <f>IFERROR(INDEX('Reported Group Highlights'!$A:$AAW,MATCH($AA92,'Reported Group Highlights'!$A:$A,0),MATCH(AU89,'Reported Group Highlights'!$1:$1,0)),"")</f>
        <v>1.1985842977831451E-2</v>
      </c>
    </row>
    <row r="93" spans="1:47" x14ac:dyDescent="0.35">
      <c r="A93" s="3"/>
      <c r="B93" s="3"/>
      <c r="C93" s="3"/>
      <c r="D93" s="3"/>
      <c r="E93" s="3"/>
      <c r="F93" s="3"/>
      <c r="G93" s="3"/>
      <c r="H93" s="3"/>
      <c r="I93" s="3"/>
      <c r="J93" s="3"/>
      <c r="K93" s="3"/>
      <c r="L93" s="3"/>
      <c r="M93" s="3"/>
      <c r="N93" s="3"/>
      <c r="O93" s="3"/>
      <c r="P93" s="3"/>
      <c r="Q93" s="3"/>
      <c r="R93" s="3"/>
      <c r="S93" s="3"/>
      <c r="T93" s="3"/>
      <c r="U93" s="3"/>
      <c r="V93" s="3"/>
      <c r="W93" s="3"/>
      <c r="AA93" s="21" t="str">
        <f>'Reported Group Highlights'!A105</f>
        <v>Infrastructure Exp YoY</v>
      </c>
      <c r="AB93" s="23">
        <f>IFERROR(INDEX('Reported Group Highlights'!$A:$AAW,MATCH($AA93,'Reported Group Highlights'!$A:$A,0),MATCH(AB89,'Reported Group Highlights'!$1:$1,0)),"")</f>
        <v>0.1113243761996161</v>
      </c>
      <c r="AC93" s="23">
        <f>IFERROR(INDEX('Reported Group Highlights'!$A:$AAW,MATCH($AA93,'Reported Group Highlights'!$A:$A,0),MATCH(AC89,'Reported Group Highlights'!$1:$1,0)),"")</f>
        <v>0.18598790322580649</v>
      </c>
      <c r="AD93" s="23">
        <f>IFERROR(INDEX('Reported Group Highlights'!$A:$AAW,MATCH($AA93,'Reported Group Highlights'!$A:$A,0),MATCH(AD89,'Reported Group Highlights'!$1:$1,0)),"")</f>
        <v>0.10574293527803102</v>
      </c>
      <c r="AE93" s="23">
        <f>IFERROR(INDEX('Reported Group Highlights'!$A:$AAW,MATCH($AA93,'Reported Group Highlights'!$A:$A,0),MATCH(AE89,'Reported Group Highlights'!$1:$1,0)),"")</f>
        <v>8.4931506849315053E-2</v>
      </c>
      <c r="AF93" s="23">
        <f>IFERROR(INDEX('Reported Group Highlights'!$A:$AAW,MATCH($AA93,'Reported Group Highlights'!$A:$A,0),MATCH(AF89,'Reported Group Highlights'!$1:$1,0)),"")</f>
        <v>-0.12270854922279795</v>
      </c>
      <c r="AG93" s="23">
        <f>IFERROR(INDEX('Reported Group Highlights'!$A:$AAW,MATCH($AA93,'Reported Group Highlights'!$A:$A,0),MATCH(AG89,'Reported Group Highlights'!$1:$1,0)),"")</f>
        <v>-0.11894857628559286</v>
      </c>
      <c r="AH93" s="23">
        <f>IFERROR(INDEX('Reported Group Highlights'!$A:$AAW,MATCH($AA93,'Reported Group Highlights'!$A:$A,0),MATCH(AH89,'Reported Group Highlights'!$1:$1,0)),"")</f>
        <v>-0.21548928276999157</v>
      </c>
      <c r="AI93" s="23">
        <f>IFERROR(INDEX('Reported Group Highlights'!$A:$AAW,MATCH($AA93,'Reported Group Highlights'!$A:$A,0),MATCH(AI89,'Reported Group Highlights'!$1:$1,0)),"")</f>
        <v>-0.17277272727272719</v>
      </c>
      <c r="AJ93" s="23">
        <f>IFERROR(INDEX('Reported Group Highlights'!$A:$AAW,MATCH($AA93,'Reported Group Highlights'!$A:$A,0),MATCH(AJ89,'Reported Group Highlights'!$1:$1,0)),"")</f>
        <v>-2.8435771704694468E-2</v>
      </c>
      <c r="AK93" s="23">
        <f>IFERROR(INDEX('Reported Group Highlights'!$A:$AAW,MATCH($AA93,'Reported Group Highlights'!$A:$A,0),MATCH(AK89,'Reported Group Highlights'!$1:$1,0)),"")</f>
        <v>-5.8003081354908503E-2</v>
      </c>
      <c r="AL93" s="23">
        <f>IFERROR(INDEX('Reported Group Highlights'!$A:$AAW,MATCH($AA93,'Reported Group Highlights'!$A:$A,0),MATCH(AL89,'Reported Group Highlights'!$1:$1,0)),"")</f>
        <v>6.3184398254959806E-2</v>
      </c>
      <c r="AM93" s="23">
        <f>IFERROR(INDEX('Reported Group Highlights'!$A:$AAW,MATCH($AA93,'Reported Group Highlights'!$A:$A,0),MATCH(AM89,'Reported Group Highlights'!$1:$1,0)),"")</f>
        <v>3.7483235749623978E-2</v>
      </c>
      <c r="AN93" s="23">
        <f>IFERROR(INDEX('Reported Group Highlights'!$A:$AAW,MATCH($AA93,'Reported Group Highlights'!$A:$A,0),MATCH(AN89,'Reported Group Highlights'!$1:$1,0)),"")</f>
        <v>9.0834439783367138E-3</v>
      </c>
      <c r="AO93" s="23">
        <f>IFERROR(INDEX('Reported Group Highlights'!$A:$AAW,MATCH($AA93,'Reported Group Highlights'!$A:$A,0),MATCH(AO89,'Reported Group Highlights'!$1:$1,0)),"")</f>
        <v>6.0603205441025931E-2</v>
      </c>
      <c r="AP93" s="23">
        <f>IFERROR(INDEX('Reported Group Highlights'!$A:$AAW,MATCH($AA93,'Reported Group Highlights'!$A:$A,0),MATCH(AP89,'Reported Group Highlights'!$1:$1,0)),"")</f>
        <v>-6.0900123895653024E-3</v>
      </c>
      <c r="AQ93" s="23">
        <f>IFERROR(INDEX('Reported Group Highlights'!$A:$AAW,MATCH($AA93,'Reported Group Highlights'!$A:$A,0),MATCH(AQ89,'Reported Group Highlights'!$1:$1,0)),"")</f>
        <v>-0.18613059757302597</v>
      </c>
      <c r="AR93" s="23">
        <f>IFERROR(INDEX('Reported Group Highlights'!$A:$AAW,MATCH($AA93,'Reported Group Highlights'!$A:$A,0),MATCH(AR89,'Reported Group Highlights'!$1:$1,0)),"")</f>
        <v>0.1726970695224106</v>
      </c>
      <c r="AS93" s="23">
        <f>IFERROR(INDEX('Reported Group Highlights'!$A:$AAW,MATCH($AA93,'Reported Group Highlights'!$A:$A,0),MATCH(AS89,'Reported Group Highlights'!$1:$1,0)),"")</f>
        <v>3.3560462278940273E-2</v>
      </c>
      <c r="AT93" s="23">
        <f>IFERROR(INDEX('Reported Group Highlights'!$A:$AAW,MATCH($AA93,'Reported Group Highlights'!$A:$A,0),MATCH(AT89,'Reported Group Highlights'!$1:$1,0)),"")</f>
        <v>8.4482839205749727E-2</v>
      </c>
      <c r="AU93" s="23">
        <f>IFERROR(INDEX('Reported Group Highlights'!$A:$AAW,MATCH($AA93,'Reported Group Highlights'!$A:$A,0),MATCH(AU89,'Reported Group Highlights'!$1:$1,0)),"")</f>
        <v>0.40869382880597538</v>
      </c>
    </row>
    <row r="94" spans="1:47" x14ac:dyDescent="0.35">
      <c r="A94" s="3"/>
      <c r="B94" s="3"/>
      <c r="C94" s="3"/>
      <c r="D94" s="3"/>
      <c r="E94" s="3"/>
      <c r="F94" s="3"/>
      <c r="G94" s="3"/>
      <c r="H94" s="3"/>
      <c r="I94" s="3"/>
      <c r="J94" s="3"/>
      <c r="K94" s="3"/>
      <c r="L94" s="3"/>
      <c r="M94" s="3"/>
      <c r="N94" s="3"/>
      <c r="O94" s="3"/>
      <c r="P94" s="3"/>
      <c r="Q94" s="3"/>
      <c r="R94" s="3"/>
      <c r="S94" s="3"/>
      <c r="T94" s="3"/>
      <c r="U94" s="3"/>
      <c r="V94" s="3"/>
      <c r="W94" s="3"/>
      <c r="AB94" s="23"/>
      <c r="AC94" s="23"/>
      <c r="AD94" s="23"/>
      <c r="AE94" s="23"/>
      <c r="AF94" s="23"/>
      <c r="AG94" s="23"/>
      <c r="AH94" s="23"/>
      <c r="AI94" s="23"/>
      <c r="AJ94" s="23"/>
      <c r="AK94" s="23"/>
      <c r="AL94" s="23"/>
      <c r="AM94" s="23"/>
      <c r="AN94" s="23"/>
      <c r="AO94" s="23"/>
      <c r="AP94" s="23"/>
      <c r="AQ94" s="23"/>
      <c r="AR94" s="23"/>
      <c r="AS94" s="23"/>
      <c r="AT94" s="23"/>
      <c r="AU94" s="23"/>
    </row>
    <row r="95" spans="1:47" x14ac:dyDescent="0.35">
      <c r="A95" s="3"/>
      <c r="B95" s="3"/>
      <c r="C95" s="3"/>
      <c r="D95" s="3"/>
      <c r="E95" s="3"/>
      <c r="F95" s="3"/>
      <c r="G95" s="3"/>
      <c r="H95" s="3"/>
      <c r="I95" s="3"/>
      <c r="J95" s="3"/>
      <c r="K95" s="3"/>
      <c r="L95" s="3"/>
      <c r="M95" s="3"/>
      <c r="N95" s="3"/>
      <c r="O95" s="3"/>
      <c r="P95" s="3"/>
      <c r="Q95" s="3"/>
      <c r="R95" s="3"/>
      <c r="S95" s="3"/>
      <c r="T95" s="3"/>
      <c r="U95" s="3"/>
      <c r="V95" s="3"/>
      <c r="W95" s="3"/>
    </row>
    <row r="96" spans="1:47" x14ac:dyDescent="0.35">
      <c r="A96" s="3"/>
      <c r="B96" s="3"/>
      <c r="C96" s="3"/>
      <c r="D96" s="3"/>
      <c r="E96" s="3"/>
      <c r="F96" s="3"/>
      <c r="G96" s="3"/>
      <c r="H96" s="3"/>
      <c r="I96" s="3"/>
      <c r="J96" s="3"/>
      <c r="K96" s="3"/>
      <c r="L96" s="3"/>
      <c r="M96" s="3"/>
      <c r="N96" s="3"/>
      <c r="O96" s="3"/>
      <c r="P96" s="3"/>
      <c r="Q96" s="3"/>
      <c r="R96" s="3"/>
      <c r="S96" s="3"/>
      <c r="T96" s="3"/>
      <c r="U96" s="3"/>
      <c r="V96" s="3"/>
      <c r="W96" s="3"/>
    </row>
    <row r="97" spans="1:47" x14ac:dyDescent="0.35">
      <c r="A97" s="3"/>
      <c r="B97" s="3"/>
      <c r="C97" s="3"/>
      <c r="D97" s="3"/>
      <c r="E97" s="3"/>
      <c r="F97" s="3"/>
      <c r="G97" s="3"/>
      <c r="H97" s="3"/>
      <c r="I97" s="3"/>
      <c r="J97" s="3"/>
      <c r="K97" s="3"/>
      <c r="L97" s="3"/>
      <c r="M97" s="3"/>
      <c r="N97" s="3"/>
      <c r="O97" s="3"/>
      <c r="P97" s="3"/>
      <c r="Q97" s="3"/>
      <c r="R97" s="3"/>
      <c r="S97" s="3"/>
      <c r="T97" s="3"/>
      <c r="U97" s="3"/>
      <c r="V97" s="3"/>
      <c r="W97" s="3"/>
    </row>
    <row r="98" spans="1:47" x14ac:dyDescent="0.35">
      <c r="A98" s="3"/>
      <c r="B98" s="3"/>
      <c r="C98" s="3"/>
      <c r="D98" s="3"/>
      <c r="E98" s="3"/>
      <c r="F98" s="3"/>
      <c r="G98" s="3"/>
      <c r="H98" s="3"/>
      <c r="I98" s="3"/>
      <c r="J98" s="3"/>
      <c r="K98" s="3"/>
      <c r="L98" s="3"/>
      <c r="M98" s="3"/>
      <c r="N98" s="3"/>
      <c r="O98" s="3"/>
      <c r="P98" s="3"/>
      <c r="Q98" s="3"/>
      <c r="R98" s="3"/>
      <c r="S98" s="3"/>
      <c r="T98" s="3"/>
      <c r="U98" s="3"/>
      <c r="V98" s="3"/>
      <c r="W98" s="3"/>
    </row>
    <row r="99" spans="1:47" x14ac:dyDescent="0.35">
      <c r="A99" s="3"/>
      <c r="B99" s="3"/>
      <c r="C99" s="3"/>
      <c r="D99" s="3"/>
      <c r="E99" s="3"/>
      <c r="F99" s="3"/>
      <c r="G99" s="3"/>
      <c r="H99" s="3"/>
      <c r="I99" s="3"/>
      <c r="J99" s="3"/>
      <c r="K99" s="3"/>
      <c r="L99" s="3"/>
      <c r="M99" s="3"/>
      <c r="N99" s="3"/>
      <c r="O99" s="3"/>
      <c r="P99" s="3"/>
      <c r="Q99" s="3"/>
      <c r="R99" s="3"/>
      <c r="S99" s="3"/>
      <c r="T99" s="3"/>
      <c r="U99" s="3"/>
      <c r="V99" s="3"/>
      <c r="W99" s="3"/>
    </row>
    <row r="100" spans="1:47" x14ac:dyDescent="0.35">
      <c r="A100" s="3"/>
      <c r="B100" s="3"/>
      <c r="C100" s="3"/>
      <c r="D100" s="3"/>
      <c r="E100" s="3"/>
      <c r="F100" s="3"/>
      <c r="G100" s="3"/>
      <c r="H100" s="3"/>
      <c r="I100" s="3"/>
      <c r="J100" s="3"/>
      <c r="K100" s="3"/>
      <c r="L100" s="3"/>
      <c r="M100" s="3"/>
      <c r="N100" s="3"/>
      <c r="O100" s="3"/>
      <c r="P100" s="3"/>
      <c r="Q100" s="3"/>
      <c r="R100" s="3"/>
      <c r="S100" s="3"/>
      <c r="T100" s="3"/>
      <c r="U100" s="3"/>
      <c r="V100" s="3"/>
      <c r="W100" s="3"/>
    </row>
    <row r="101" spans="1:47" x14ac:dyDescent="0.35">
      <c r="A101" s="3"/>
      <c r="B101" s="3"/>
      <c r="C101" s="3"/>
      <c r="D101" s="3"/>
      <c r="E101" s="3"/>
      <c r="F101" s="3"/>
      <c r="G101" s="3"/>
      <c r="H101" s="3"/>
      <c r="I101" s="3"/>
      <c r="J101" s="3"/>
      <c r="K101" s="3"/>
      <c r="L101" s="3"/>
      <c r="M101" s="3"/>
      <c r="N101" s="3"/>
      <c r="O101" s="3"/>
      <c r="P101" s="3"/>
      <c r="Q101" s="3"/>
      <c r="R101" s="3"/>
      <c r="S101" s="3"/>
      <c r="T101" s="3"/>
      <c r="U101" s="3"/>
      <c r="V101" s="3"/>
      <c r="W101" s="3"/>
    </row>
    <row r="102" spans="1:47" x14ac:dyDescent="0.35">
      <c r="A102" s="3"/>
      <c r="B102" s="3"/>
      <c r="C102" s="3"/>
      <c r="D102" s="3"/>
      <c r="E102" s="3"/>
      <c r="F102" s="3"/>
      <c r="G102" s="3"/>
      <c r="H102" s="3"/>
      <c r="I102" s="3"/>
      <c r="J102" s="3"/>
      <c r="K102" s="3"/>
      <c r="L102" s="3"/>
      <c r="M102" s="3"/>
      <c r="N102" s="3"/>
      <c r="O102" s="3"/>
      <c r="P102" s="3"/>
      <c r="Q102" s="3"/>
      <c r="R102" s="3"/>
      <c r="S102" s="3"/>
      <c r="T102" s="3"/>
      <c r="U102" s="3"/>
      <c r="V102" s="3"/>
      <c r="W102" s="3"/>
    </row>
    <row r="103" spans="1:47" x14ac:dyDescent="0.35">
      <c r="A103" s="3"/>
      <c r="B103" s="3"/>
      <c r="C103" s="3"/>
      <c r="D103" s="3"/>
      <c r="E103" s="3"/>
      <c r="F103" s="3"/>
      <c r="G103" s="3"/>
      <c r="H103" s="3"/>
      <c r="I103" s="3"/>
      <c r="J103" s="3"/>
      <c r="K103" s="3"/>
      <c r="L103" s="3"/>
      <c r="M103" s="3"/>
      <c r="N103" s="3"/>
      <c r="O103" s="3"/>
      <c r="P103" s="3"/>
      <c r="Q103" s="3"/>
      <c r="R103" s="3"/>
      <c r="S103" s="3"/>
      <c r="T103" s="3"/>
      <c r="U103" s="3"/>
      <c r="V103" s="3"/>
      <c r="W103" s="3"/>
    </row>
    <row r="104" spans="1:47" x14ac:dyDescent="0.35">
      <c r="A104" s="1" t="s">
        <v>33</v>
      </c>
      <c r="B104" s="1" t="s">
        <v>145</v>
      </c>
      <c r="C104" s="1"/>
      <c r="D104" s="1"/>
      <c r="E104" s="1"/>
      <c r="F104" s="1"/>
      <c r="G104" s="1"/>
      <c r="H104" s="1"/>
      <c r="I104" s="1"/>
      <c r="J104" s="1"/>
      <c r="K104" s="1" t="s">
        <v>67</v>
      </c>
      <c r="L104" s="1" t="s">
        <v>132</v>
      </c>
      <c r="M104" s="1"/>
      <c r="N104" s="1"/>
      <c r="O104" s="1"/>
      <c r="P104" s="1"/>
      <c r="Q104" s="1"/>
      <c r="R104" s="1"/>
      <c r="S104" s="1"/>
      <c r="T104" s="1"/>
      <c r="U104" s="3"/>
      <c r="V104" s="3"/>
      <c r="W104" s="3"/>
    </row>
    <row r="105" spans="1:47" x14ac:dyDescent="0.35">
      <c r="A105" s="3"/>
      <c r="B105" s="3"/>
      <c r="C105" s="3"/>
      <c r="D105" s="3"/>
      <c r="E105" s="3"/>
      <c r="F105" s="3"/>
      <c r="G105" s="3"/>
      <c r="H105" s="3"/>
      <c r="I105" s="3"/>
      <c r="J105" s="3"/>
      <c r="K105" s="3"/>
      <c r="L105" s="3"/>
      <c r="M105" s="3"/>
      <c r="N105" s="3"/>
      <c r="O105" s="3"/>
      <c r="P105" s="3"/>
      <c r="Q105" s="3"/>
      <c r="R105" s="3"/>
      <c r="S105" s="3"/>
      <c r="T105" s="3"/>
      <c r="U105" s="3"/>
      <c r="V105" s="3"/>
      <c r="W105" s="3"/>
    </row>
    <row r="106" spans="1:47" x14ac:dyDescent="0.35">
      <c r="A106" s="3"/>
      <c r="B106" s="3"/>
      <c r="C106" s="3"/>
      <c r="D106" s="3"/>
      <c r="E106" s="3"/>
      <c r="F106" s="3"/>
      <c r="G106" s="3"/>
      <c r="H106" s="3"/>
      <c r="I106" s="3"/>
      <c r="J106" s="3"/>
      <c r="K106" s="3"/>
      <c r="L106" s="3"/>
      <c r="M106" s="3"/>
      <c r="N106" s="3"/>
      <c r="O106" s="3"/>
      <c r="P106" s="3"/>
      <c r="Q106" s="3"/>
      <c r="R106" s="3"/>
      <c r="S106" s="3"/>
      <c r="T106" s="3"/>
      <c r="U106" s="3"/>
      <c r="V106" s="3"/>
      <c r="W106" s="3"/>
    </row>
    <row r="107" spans="1:47" x14ac:dyDescent="0.35">
      <c r="A107" s="3"/>
      <c r="B107" s="3"/>
      <c r="C107" s="3"/>
      <c r="D107" s="3"/>
      <c r="E107" s="3"/>
      <c r="F107" s="3"/>
      <c r="G107" s="3"/>
      <c r="H107" s="3"/>
      <c r="I107" s="3"/>
      <c r="J107" s="3"/>
      <c r="K107" s="3"/>
      <c r="L107" s="3"/>
      <c r="M107" s="3"/>
      <c r="N107" s="3"/>
      <c r="O107" s="3"/>
      <c r="P107" s="3"/>
      <c r="Q107" s="3"/>
      <c r="R107" s="3"/>
      <c r="S107" s="3"/>
      <c r="T107" s="3"/>
      <c r="U107" s="3"/>
      <c r="V107" s="3"/>
      <c r="W107" s="3"/>
      <c r="AB107" s="19">
        <f t="shared" ref="AB107:AR107" si="95">AC107-1</f>
        <v>29</v>
      </c>
      <c r="AC107" s="19">
        <f t="shared" si="95"/>
        <v>30</v>
      </c>
      <c r="AD107" s="19">
        <f t="shared" si="95"/>
        <v>31</v>
      </c>
      <c r="AE107" s="19">
        <f t="shared" si="95"/>
        <v>32</v>
      </c>
      <c r="AF107" s="19">
        <f t="shared" si="95"/>
        <v>33</v>
      </c>
      <c r="AG107" s="19">
        <f t="shared" si="95"/>
        <v>34</v>
      </c>
      <c r="AH107" s="19">
        <f t="shared" si="95"/>
        <v>35</v>
      </c>
      <c r="AI107" s="19">
        <f t="shared" si="95"/>
        <v>36</v>
      </c>
      <c r="AJ107" s="19">
        <f t="shared" si="95"/>
        <v>37</v>
      </c>
      <c r="AK107" s="19">
        <f t="shared" si="95"/>
        <v>38</v>
      </c>
      <c r="AL107" s="19">
        <f t="shared" si="95"/>
        <v>39</v>
      </c>
      <c r="AM107" s="19">
        <f t="shared" si="95"/>
        <v>40</v>
      </c>
      <c r="AN107" s="19">
        <f t="shared" si="95"/>
        <v>41</v>
      </c>
      <c r="AO107" s="19">
        <f t="shared" si="95"/>
        <v>42</v>
      </c>
      <c r="AP107" s="19">
        <f t="shared" si="95"/>
        <v>43</v>
      </c>
      <c r="AQ107" s="19">
        <f t="shared" si="95"/>
        <v>44</v>
      </c>
      <c r="AR107" s="19">
        <f t="shared" si="95"/>
        <v>45</v>
      </c>
      <c r="AS107" s="19">
        <f t="shared" ref="AS107" si="96">AT107-1</f>
        <v>46</v>
      </c>
      <c r="AT107" s="19">
        <f>AU107-1</f>
        <v>47</v>
      </c>
      <c r="AU107" s="19">
        <f>VLOOKUP(AU108,Dates!$A:$D,2,FALSE)</f>
        <v>48</v>
      </c>
    </row>
    <row r="108" spans="1:47" x14ac:dyDescent="0.35">
      <c r="A108" s="3"/>
      <c r="B108" s="3"/>
      <c r="C108" s="3"/>
      <c r="D108" s="3"/>
      <c r="E108" s="3"/>
      <c r="F108" s="3"/>
      <c r="G108" s="3"/>
      <c r="H108" s="3"/>
      <c r="I108" s="3"/>
      <c r="J108" s="3"/>
      <c r="K108" s="3"/>
      <c r="L108" s="3"/>
      <c r="M108" s="3"/>
      <c r="N108" s="3"/>
      <c r="O108" s="3"/>
      <c r="P108" s="3"/>
      <c r="Q108" s="3"/>
      <c r="R108" s="3"/>
      <c r="S108" s="3"/>
      <c r="T108" s="3"/>
      <c r="U108" s="3"/>
      <c r="V108" s="3"/>
      <c r="W108" s="3"/>
      <c r="AB108" s="19" t="str">
        <f>IFERROR(VLOOKUP(AB107,Dates!$B:$D,3,FALSE),"")</f>
        <v>1Q19</v>
      </c>
      <c r="AC108" s="19" t="str">
        <f>IFERROR(VLOOKUP(AC107,Dates!$B:$D,3,FALSE),"")</f>
        <v>2Q19</v>
      </c>
      <c r="AD108" s="19" t="str">
        <f>IFERROR(VLOOKUP(AD107,Dates!$B:$D,3,FALSE),"")</f>
        <v>3Q19</v>
      </c>
      <c r="AE108" s="19" t="str">
        <f>IFERROR(VLOOKUP(AE107,Dates!$B:$D,3,FALSE),"")</f>
        <v>4Q19</v>
      </c>
      <c r="AF108" s="19" t="str">
        <f>IFERROR(VLOOKUP(AF107,Dates!$B:$D,3,FALSE),"")</f>
        <v>1Q20</v>
      </c>
      <c r="AG108" s="19" t="str">
        <f>IFERROR(VLOOKUP(AG107,Dates!$B:$D,3,FALSE),"")</f>
        <v>2Q20</v>
      </c>
      <c r="AH108" s="19" t="str">
        <f>IFERROR(VLOOKUP(AH107,Dates!$B:$D,3,FALSE),"")</f>
        <v>3Q20</v>
      </c>
      <c r="AI108" s="19" t="str">
        <f>IFERROR(VLOOKUP(AI107,Dates!$B:$D,3,FALSE),"")</f>
        <v>4Q20</v>
      </c>
      <c r="AJ108" s="19" t="str">
        <f>IFERROR(VLOOKUP(AJ107,Dates!$B:$D,3,FALSE),"")</f>
        <v>1Q21</v>
      </c>
      <c r="AK108" s="19" t="str">
        <f>IFERROR(VLOOKUP(AK107,Dates!$B:$D,3,FALSE),"")</f>
        <v>2Q21</v>
      </c>
      <c r="AL108" s="19" t="str">
        <f>IFERROR(VLOOKUP(AL107,Dates!$B:$D,3,FALSE),"")</f>
        <v>3Q21</v>
      </c>
      <c r="AM108" s="19" t="str">
        <f>IFERROR(VLOOKUP(AM107,Dates!$B:$D,3,FALSE),"")</f>
        <v>4Q21</v>
      </c>
      <c r="AN108" s="19" t="str">
        <f>IFERROR(VLOOKUP(AN107,Dates!$B:$D,3,FALSE),"")</f>
        <v>1Q22</v>
      </c>
      <c r="AO108" s="19" t="str">
        <f>IFERROR(VLOOKUP(AO107,Dates!$B:$D,3,FALSE),"")</f>
        <v>2Q22</v>
      </c>
      <c r="AP108" s="19" t="str">
        <f>IFERROR(VLOOKUP(AP107,Dates!$B:$D,3,FALSE),"")</f>
        <v>3Q22</v>
      </c>
      <c r="AQ108" s="19" t="str">
        <f>IFERROR(VLOOKUP(AQ107,Dates!$B:$D,3,FALSE),"")</f>
        <v>4Q22</v>
      </c>
      <c r="AR108" s="19" t="str">
        <f>IFERROR(VLOOKUP(AR107,Dates!$B:$D,3,FALSE),"")</f>
        <v>1Q23</v>
      </c>
      <c r="AS108" s="19" t="str">
        <f>IFERROR(VLOOKUP(AS107,Dates!$B:$D,3,FALSE),"")</f>
        <v>2Q23</v>
      </c>
      <c r="AT108" s="19" t="str">
        <f>IFERROR(VLOOKUP(AT107,Dates!$B:$D,3,FALSE),"")</f>
        <v>3Q23</v>
      </c>
      <c r="AU108" s="20" t="str">
        <f>$G$3</f>
        <v>4Q23</v>
      </c>
    </row>
    <row r="109" spans="1:47" x14ac:dyDescent="0.35">
      <c r="A109" s="3"/>
      <c r="B109" s="3"/>
      <c r="C109" s="3"/>
      <c r="D109" s="3"/>
      <c r="E109" s="3"/>
      <c r="F109" s="3"/>
      <c r="G109" s="3"/>
      <c r="H109" s="3"/>
      <c r="I109" s="3"/>
      <c r="J109" s="3"/>
      <c r="K109" s="3"/>
      <c r="L109" s="3"/>
      <c r="M109" s="3"/>
      <c r="N109" s="3"/>
      <c r="O109" s="3"/>
      <c r="P109" s="3"/>
      <c r="Q109" s="3"/>
      <c r="R109" s="3"/>
      <c r="S109" s="3"/>
      <c r="T109" s="3"/>
      <c r="U109" s="3"/>
      <c r="V109" s="3"/>
      <c r="W109" s="3"/>
      <c r="AA109" s="21" t="str">
        <f>'Reported Group Highlights'!A42</f>
        <v>EBITDA</v>
      </c>
      <c r="AB109" s="22">
        <f>IFERROR(INDEX('Reported Group Highlights'!$A:$AAW,MATCH($AA109,'Reported Group Highlights'!$A:$A,0),MATCH(AB108,'Reported Group Highlights'!$1:$1,0)),"")</f>
        <v>2279</v>
      </c>
      <c r="AC109" s="22">
        <f>IFERROR(INDEX('Reported Group Highlights'!$A:$AAW,MATCH($AA109,'Reported Group Highlights'!$A:$A,0),MATCH(AC108,'Reported Group Highlights'!$1:$1,0)),"")</f>
        <v>2471</v>
      </c>
      <c r="AD109" s="22">
        <f>IFERROR(INDEX('Reported Group Highlights'!$A:$AAW,MATCH($AA109,'Reported Group Highlights'!$A:$A,0),MATCH(AD108,'Reported Group Highlights'!$1:$1,0)),"")</f>
        <v>2608</v>
      </c>
      <c r="AE109" s="22">
        <f>IFERROR(INDEX('Reported Group Highlights'!$A:$AAW,MATCH($AA109,'Reported Group Highlights'!$A:$A,0),MATCH(AE108,'Reported Group Highlights'!$1:$1,0)),"")</f>
        <v>2608</v>
      </c>
      <c r="AF109" s="22">
        <f>IFERROR(INDEX('Reported Group Highlights'!$A:$AAW,MATCH($AA109,'Reported Group Highlights'!$A:$A,0),MATCH(AF108,'Reported Group Highlights'!$1:$1,0)),"")</f>
        <v>3184</v>
      </c>
      <c r="AG109" s="22">
        <f>IFERROR(INDEX('Reported Group Highlights'!$A:$AAW,MATCH($AA109,'Reported Group Highlights'!$A:$A,0),MATCH(AG108,'Reported Group Highlights'!$1:$1,0)),"")</f>
        <v>3306</v>
      </c>
      <c r="AH109" s="22">
        <f>IFERROR(INDEX('Reported Group Highlights'!$A:$AAW,MATCH($AA109,'Reported Group Highlights'!$A:$A,0),MATCH(AH108,'Reported Group Highlights'!$1:$1,0)),"")</f>
        <v>3405</v>
      </c>
      <c r="AI109" s="22">
        <f>IFERROR(INDEX('Reported Group Highlights'!$A:$AAW,MATCH($AA109,'Reported Group Highlights'!$A:$A,0),MATCH(AI108,'Reported Group Highlights'!$1:$1,0)),"")</f>
        <v>3165</v>
      </c>
      <c r="AJ109" s="22">
        <f>IFERROR(INDEX('Reported Group Highlights'!$A:$AAW,MATCH($AA109,'Reported Group Highlights'!$A:$A,0),MATCH(AJ108,'Reported Group Highlights'!$1:$1,0)),"")</f>
        <v>3119</v>
      </c>
      <c r="AK109" s="22">
        <f>IFERROR(INDEX('Reported Group Highlights'!$A:$AAW,MATCH($AA109,'Reported Group Highlights'!$A:$A,0),MATCH(AK108,'Reported Group Highlights'!$1:$1,0)),"")</f>
        <v>3369</v>
      </c>
      <c r="AL109" s="22">
        <f>IFERROR(INDEX('Reported Group Highlights'!$A:$AAW,MATCH($AA109,'Reported Group Highlights'!$A:$A,0),MATCH(AL108,'Reported Group Highlights'!$1:$1,0)),"")</f>
        <v>3418</v>
      </c>
      <c r="AM109" s="22">
        <f>IFERROR(INDEX('Reported Group Highlights'!$A:$AAW,MATCH($AA109,'Reported Group Highlights'!$A:$A,0),MATCH(AM108,'Reported Group Highlights'!$1:$1,0)),"")</f>
        <v>3381</v>
      </c>
      <c r="AN109" s="22">
        <f>IFERROR(INDEX('Reported Group Highlights'!$A:$AAW,MATCH($AA109,'Reported Group Highlights'!$A:$A,0),MATCH(AN108,'Reported Group Highlights'!$1:$1,0)),"")</f>
        <v>3174</v>
      </c>
      <c r="AO109" s="22">
        <f>IFERROR(INDEX('Reported Group Highlights'!$A:$AAW,MATCH($AA109,'Reported Group Highlights'!$A:$A,0),MATCH(AO108,'Reported Group Highlights'!$1:$1,0)),"")</f>
        <v>3560</v>
      </c>
      <c r="AP109" s="22">
        <f>IFERROR(INDEX('Reported Group Highlights'!$A:$AAW,MATCH($AA109,'Reported Group Highlights'!$A:$A,0),MATCH(AP108,'Reported Group Highlights'!$1:$1,0)),"")</f>
        <v>3643</v>
      </c>
      <c r="AQ109" s="22">
        <f>IFERROR(INDEX('Reported Group Highlights'!$A:$AAW,MATCH($AA109,'Reported Group Highlights'!$A:$A,0),MATCH(AQ108,'Reported Group Highlights'!$1:$1,0)),"")</f>
        <v>3858</v>
      </c>
      <c r="AR109" s="22">
        <f>IFERROR(INDEX('Reported Group Highlights'!$A:$AAW,MATCH($AA109,'Reported Group Highlights'!$A:$A,0),MATCH(AR108,'Reported Group Highlights'!$1:$1,0)),"")</f>
        <v>3583</v>
      </c>
      <c r="AS109" s="22">
        <f>IFERROR(INDEX('Reported Group Highlights'!$A:$AAW,MATCH($AA109,'Reported Group Highlights'!$A:$A,0),MATCH(AS108,'Reported Group Highlights'!$1:$1,0)),"")</f>
        <v>4069</v>
      </c>
      <c r="AT109" s="22">
        <f>IFERROR(INDEX('Reported Group Highlights'!$A:$AAW,MATCH($AA109,'Reported Group Highlights'!$A:$A,0),MATCH(AT108,'Reported Group Highlights'!$1:$1,0)),"")</f>
        <v>4103</v>
      </c>
      <c r="AU109" s="22">
        <f>IFERROR(INDEX('Reported Group Highlights'!$A:$AAW,MATCH($AA109,'Reported Group Highlights'!$A:$A,0),MATCH(AU108,'Reported Group Highlights'!$1:$1,0)),"")</f>
        <v>4130</v>
      </c>
    </row>
    <row r="110" spans="1:47" x14ac:dyDescent="0.35">
      <c r="A110" s="3"/>
      <c r="B110" s="3"/>
      <c r="C110" s="3"/>
      <c r="D110" s="3"/>
      <c r="E110" s="3"/>
      <c r="F110" s="3"/>
      <c r="G110" s="3"/>
      <c r="H110" s="3"/>
      <c r="I110" s="3"/>
      <c r="J110" s="3"/>
      <c r="K110" s="3"/>
      <c r="L110" s="3"/>
      <c r="M110" s="3"/>
      <c r="N110" s="3"/>
      <c r="O110" s="3"/>
      <c r="P110" s="3"/>
      <c r="Q110" s="3"/>
      <c r="R110" s="3"/>
      <c r="S110" s="3"/>
      <c r="T110" s="3"/>
      <c r="U110" s="3"/>
      <c r="V110" s="3"/>
      <c r="W110" s="3"/>
      <c r="AA110" s="21" t="str">
        <f>'Reported Group Highlights'!A86</f>
        <v>EBITDA growth (% YoY)</v>
      </c>
      <c r="AB110" s="23">
        <f>IFERROR(INDEX('Reported Group Highlights'!$A:$AAW,MATCH($AA110,'Reported Group Highlights'!$A:$A,0),MATCH(AB108,'Reported Group Highlights'!$1:$1,0)),"")</f>
        <v>0.14753272910372606</v>
      </c>
      <c r="AC110" s="23">
        <f>IFERROR(INDEX('Reported Group Highlights'!$A:$AAW,MATCH($AA110,'Reported Group Highlights'!$A:$A,0),MATCH(AC108,'Reported Group Highlights'!$1:$1,0)),"")</f>
        <v>0.23550000000000004</v>
      </c>
      <c r="AD110" s="23">
        <f>IFERROR(INDEX('Reported Group Highlights'!$A:$AAW,MATCH($AA110,'Reported Group Highlights'!$A:$A,0),MATCH(AD108,'Reported Group Highlights'!$1:$1,0)),"")</f>
        <v>0.19852941176470584</v>
      </c>
      <c r="AE110" s="23">
        <f>IFERROR(INDEX('Reported Group Highlights'!$A:$AAW,MATCH($AA110,'Reported Group Highlights'!$A:$A,0),MATCH(AE108,'Reported Group Highlights'!$1:$1,0)),"")</f>
        <v>0.1093151850276477</v>
      </c>
      <c r="AF110" s="23">
        <f>IFERROR(INDEX('Reported Group Highlights'!$A:$AAW,MATCH($AA110,'Reported Group Highlights'!$A:$A,0),MATCH(AF108,'Reported Group Highlights'!$1:$1,0)),"")</f>
        <v>0.39710399297937693</v>
      </c>
      <c r="AG110" s="23">
        <f>IFERROR(INDEX('Reported Group Highlights'!$A:$AAW,MATCH($AA110,'Reported Group Highlights'!$A:$A,0),MATCH(AG108,'Reported Group Highlights'!$1:$1,0)),"")</f>
        <v>0.33791987049777417</v>
      </c>
      <c r="AH110" s="23">
        <f>IFERROR(INDEX('Reported Group Highlights'!$A:$AAW,MATCH($AA110,'Reported Group Highlights'!$A:$A,0),MATCH(AH108,'Reported Group Highlights'!$1:$1,0)),"")</f>
        <v>0.30559815950920255</v>
      </c>
      <c r="AI110" s="23">
        <f>IFERROR(INDEX('Reported Group Highlights'!$A:$AAW,MATCH($AA110,'Reported Group Highlights'!$A:$A,0),MATCH(AI108,'Reported Group Highlights'!$1:$1,0)),"")</f>
        <v>0.2135736196319018</v>
      </c>
      <c r="AJ110" s="23">
        <f>IFERROR(INDEX('Reported Group Highlights'!$A:$AAW,MATCH($AA110,'Reported Group Highlights'!$A:$A,0),MATCH(AJ108,'Reported Group Highlights'!$1:$1,0)),"")</f>
        <v>-2.0414572864321578E-2</v>
      </c>
      <c r="AK110" s="23">
        <f>IFERROR(INDEX('Reported Group Highlights'!$A:$AAW,MATCH($AA110,'Reported Group Highlights'!$A:$A,0),MATCH(AK108,'Reported Group Highlights'!$1:$1,0)),"")</f>
        <v>1.9056261343012748E-2</v>
      </c>
      <c r="AL110" s="23">
        <f>IFERROR(INDEX('Reported Group Highlights'!$A:$AAW,MATCH($AA110,'Reported Group Highlights'!$A:$A,0),MATCH(AL108,'Reported Group Highlights'!$1:$1,0)),"")</f>
        <v>3.8179148311305866E-3</v>
      </c>
      <c r="AM110" s="23">
        <f>IFERROR(INDEX('Reported Group Highlights'!$A:$AAW,MATCH($AA110,'Reported Group Highlights'!$A:$A,0),MATCH(AM108,'Reported Group Highlights'!$1:$1,0)),"")</f>
        <v>6.824644549763037E-2</v>
      </c>
      <c r="AN110" s="23">
        <f>IFERROR(INDEX('Reported Group Highlights'!$A:$AAW,MATCH($AA110,'Reported Group Highlights'!$A:$A,0),MATCH(AN108,'Reported Group Highlights'!$1:$1,0)),"")</f>
        <v>1.7633857005450393E-2</v>
      </c>
      <c r="AO110" s="23">
        <f>IFERROR(INDEX('Reported Group Highlights'!$A:$AAW,MATCH($AA110,'Reported Group Highlights'!$A:$A,0),MATCH(AO108,'Reported Group Highlights'!$1:$1,0)),"")</f>
        <v>5.6693380825170614E-2</v>
      </c>
      <c r="AP110" s="23">
        <f>IFERROR(INDEX('Reported Group Highlights'!$A:$AAW,MATCH($AA110,'Reported Group Highlights'!$A:$A,0),MATCH(AP108,'Reported Group Highlights'!$1:$1,0)),"")</f>
        <v>6.5827969572849643E-2</v>
      </c>
      <c r="AQ110" s="23">
        <f>IFERROR(INDEX('Reported Group Highlights'!$A:$AAW,MATCH($AA110,'Reported Group Highlights'!$A:$A,0),MATCH(AQ108,'Reported Group Highlights'!$1:$1,0)),"")</f>
        <v>0.1410825199645076</v>
      </c>
      <c r="AR110" s="23">
        <f>IFERROR(INDEX('Reported Group Highlights'!$A:$AAW,MATCH($AA110,'Reported Group Highlights'!$A:$A,0),MATCH(AR108,'Reported Group Highlights'!$1:$1,0)),"")</f>
        <v>0.12885948330182728</v>
      </c>
      <c r="AS110" s="23">
        <f>IFERROR(INDEX('Reported Group Highlights'!$A:$AAW,MATCH($AA110,'Reported Group Highlights'!$A:$A,0),MATCH(AS108,'Reported Group Highlights'!$1:$1,0)),"")</f>
        <v>0.14297752808988773</v>
      </c>
      <c r="AT110" s="23">
        <f>IFERROR(INDEX('Reported Group Highlights'!$A:$AAW,MATCH($AA110,'Reported Group Highlights'!$A:$A,0),MATCH(AT108,'Reported Group Highlights'!$1:$1,0)),"")</f>
        <v>0.12626955805654672</v>
      </c>
      <c r="AU110" s="23">
        <f>IFERROR(INDEX('Reported Group Highlights'!$A:$AAW,MATCH($AA110,'Reported Group Highlights'!$A:$A,0),MATCH(AU108,'Reported Group Highlights'!$1:$1,0)),"")</f>
        <v>7.0502851218247731E-2</v>
      </c>
    </row>
    <row r="111" spans="1:47" x14ac:dyDescent="0.35">
      <c r="A111" s="3"/>
      <c r="B111" s="3"/>
      <c r="C111" s="3"/>
      <c r="D111" s="3"/>
      <c r="E111" s="3"/>
      <c r="F111" s="3"/>
      <c r="G111" s="3"/>
      <c r="H111" s="3"/>
      <c r="I111" s="3"/>
      <c r="J111" s="3"/>
      <c r="K111" s="3"/>
      <c r="L111" s="3"/>
      <c r="M111" s="3"/>
      <c r="N111" s="3"/>
      <c r="O111" s="3"/>
      <c r="P111" s="3"/>
      <c r="Q111" s="3"/>
      <c r="R111" s="3"/>
      <c r="S111" s="3"/>
      <c r="T111" s="3"/>
      <c r="U111" s="3"/>
      <c r="V111" s="3"/>
      <c r="W111" s="3"/>
    </row>
    <row r="112" spans="1:47" x14ac:dyDescent="0.35">
      <c r="A112" s="3"/>
      <c r="B112" s="3"/>
      <c r="C112" s="3"/>
      <c r="D112" s="3"/>
      <c r="E112" s="3"/>
      <c r="F112" s="3"/>
      <c r="G112" s="3"/>
      <c r="H112" s="3"/>
      <c r="I112" s="3"/>
      <c r="J112" s="3"/>
      <c r="K112" s="3"/>
      <c r="L112" s="3"/>
      <c r="M112" s="3"/>
      <c r="N112" s="3"/>
      <c r="O112" s="3"/>
      <c r="P112" s="3"/>
      <c r="Q112" s="3"/>
      <c r="R112" s="3"/>
      <c r="S112" s="3"/>
      <c r="T112" s="3"/>
      <c r="U112" s="3"/>
      <c r="V112" s="3"/>
      <c r="W112" s="3"/>
    </row>
    <row r="113" spans="1:47" x14ac:dyDescent="0.35">
      <c r="A113" s="3"/>
      <c r="B113" s="3"/>
      <c r="C113" s="3"/>
      <c r="D113" s="3"/>
      <c r="E113" s="3"/>
      <c r="F113" s="3"/>
      <c r="G113" s="3"/>
      <c r="H113" s="3"/>
      <c r="I113" s="3"/>
      <c r="J113" s="3"/>
      <c r="K113" s="3"/>
      <c r="L113" s="3"/>
      <c r="M113" s="3"/>
      <c r="N113" s="3"/>
      <c r="O113" s="3"/>
      <c r="P113" s="3"/>
      <c r="Q113" s="3"/>
      <c r="R113" s="3"/>
      <c r="S113" s="3"/>
      <c r="T113" s="3"/>
      <c r="U113" s="3"/>
      <c r="V113" s="3"/>
      <c r="W113" s="3"/>
      <c r="AB113" s="19">
        <f t="shared" ref="AB113:AR113" si="97">AC113-1</f>
        <v>29</v>
      </c>
      <c r="AC113" s="19">
        <f t="shared" si="97"/>
        <v>30</v>
      </c>
      <c r="AD113" s="19">
        <f t="shared" si="97"/>
        <v>31</v>
      </c>
      <c r="AE113" s="19">
        <f t="shared" si="97"/>
        <v>32</v>
      </c>
      <c r="AF113" s="19">
        <f t="shared" si="97"/>
        <v>33</v>
      </c>
      <c r="AG113" s="19">
        <f t="shared" si="97"/>
        <v>34</v>
      </c>
      <c r="AH113" s="19">
        <f t="shared" si="97"/>
        <v>35</v>
      </c>
      <c r="AI113" s="19">
        <f t="shared" si="97"/>
        <v>36</v>
      </c>
      <c r="AJ113" s="19">
        <f t="shared" si="97"/>
        <v>37</v>
      </c>
      <c r="AK113" s="19">
        <f t="shared" si="97"/>
        <v>38</v>
      </c>
      <c r="AL113" s="19">
        <f t="shared" si="97"/>
        <v>39</v>
      </c>
      <c r="AM113" s="19">
        <f t="shared" si="97"/>
        <v>40</v>
      </c>
      <c r="AN113" s="19">
        <f t="shared" si="97"/>
        <v>41</v>
      </c>
      <c r="AO113" s="19">
        <f t="shared" si="97"/>
        <v>42</v>
      </c>
      <c r="AP113" s="19">
        <f t="shared" si="97"/>
        <v>43</v>
      </c>
      <c r="AQ113" s="19">
        <f t="shared" si="97"/>
        <v>44</v>
      </c>
      <c r="AR113" s="19">
        <f t="shared" si="97"/>
        <v>45</v>
      </c>
      <c r="AS113" s="19">
        <f t="shared" ref="AS113" si="98">AT113-1</f>
        <v>46</v>
      </c>
      <c r="AT113" s="19">
        <f>AU113-1</f>
        <v>47</v>
      </c>
      <c r="AU113" s="19">
        <f>VLOOKUP(AU114,Dates!$A:$D,2,FALSE)</f>
        <v>48</v>
      </c>
    </row>
    <row r="114" spans="1:47" x14ac:dyDescent="0.35">
      <c r="A114" s="3"/>
      <c r="B114" s="3"/>
      <c r="C114" s="3"/>
      <c r="D114" s="3"/>
      <c r="E114" s="3"/>
      <c r="F114" s="3"/>
      <c r="G114" s="3"/>
      <c r="H114" s="3"/>
      <c r="I114" s="3"/>
      <c r="J114" s="3"/>
      <c r="K114" s="3"/>
      <c r="L114" s="3"/>
      <c r="M114" s="3"/>
      <c r="N114" s="3"/>
      <c r="O114" s="3"/>
      <c r="P114" s="3"/>
      <c r="Q114" s="3"/>
      <c r="R114" s="3"/>
      <c r="S114" s="3"/>
      <c r="T114" s="3"/>
      <c r="U114" s="3"/>
      <c r="V114" s="3"/>
      <c r="W114" s="3"/>
      <c r="AB114" s="19" t="str">
        <f>IFERROR(VLOOKUP(AB113,Dates!$B:$D,3,FALSE),"")</f>
        <v>1Q19</v>
      </c>
      <c r="AC114" s="19" t="str">
        <f>IFERROR(VLOOKUP(AC113,Dates!$B:$D,3,FALSE),"")</f>
        <v>2Q19</v>
      </c>
      <c r="AD114" s="19" t="str">
        <f>IFERROR(VLOOKUP(AD113,Dates!$B:$D,3,FALSE),"")</f>
        <v>3Q19</v>
      </c>
      <c r="AE114" s="19" t="str">
        <f>IFERROR(VLOOKUP(AE113,Dates!$B:$D,3,FALSE),"")</f>
        <v>4Q19</v>
      </c>
      <c r="AF114" s="19" t="str">
        <f>IFERROR(VLOOKUP(AF113,Dates!$B:$D,3,FALSE),"")</f>
        <v>1Q20</v>
      </c>
      <c r="AG114" s="19" t="str">
        <f>IFERROR(VLOOKUP(AG113,Dates!$B:$D,3,FALSE),"")</f>
        <v>2Q20</v>
      </c>
      <c r="AH114" s="19" t="str">
        <f>IFERROR(VLOOKUP(AH113,Dates!$B:$D,3,FALSE),"")</f>
        <v>3Q20</v>
      </c>
      <c r="AI114" s="19" t="str">
        <f>IFERROR(VLOOKUP(AI113,Dates!$B:$D,3,FALSE),"")</f>
        <v>4Q20</v>
      </c>
      <c r="AJ114" s="19" t="str">
        <f>IFERROR(VLOOKUP(AJ113,Dates!$B:$D,3,FALSE),"")</f>
        <v>1Q21</v>
      </c>
      <c r="AK114" s="19" t="str">
        <f>IFERROR(VLOOKUP(AK113,Dates!$B:$D,3,FALSE),"")</f>
        <v>2Q21</v>
      </c>
      <c r="AL114" s="19" t="str">
        <f>IFERROR(VLOOKUP(AL113,Dates!$B:$D,3,FALSE),"")</f>
        <v>3Q21</v>
      </c>
      <c r="AM114" s="19" t="str">
        <f>IFERROR(VLOOKUP(AM113,Dates!$B:$D,3,FALSE),"")</f>
        <v>4Q21</v>
      </c>
      <c r="AN114" s="19" t="str">
        <f>IFERROR(VLOOKUP(AN113,Dates!$B:$D,3,FALSE),"")</f>
        <v>1Q22</v>
      </c>
      <c r="AO114" s="19" t="str">
        <f>IFERROR(VLOOKUP(AO113,Dates!$B:$D,3,FALSE),"")</f>
        <v>2Q22</v>
      </c>
      <c r="AP114" s="19" t="str">
        <f>IFERROR(VLOOKUP(AP113,Dates!$B:$D,3,FALSE),"")</f>
        <v>3Q22</v>
      </c>
      <c r="AQ114" s="19" t="str">
        <f>IFERROR(VLOOKUP(AQ113,Dates!$B:$D,3,FALSE),"")</f>
        <v>4Q22</v>
      </c>
      <c r="AR114" s="19" t="str">
        <f>IFERROR(VLOOKUP(AR113,Dates!$B:$D,3,FALSE),"")</f>
        <v>1Q23</v>
      </c>
      <c r="AS114" s="19" t="str">
        <f>IFERROR(VLOOKUP(AS113,Dates!$B:$D,3,FALSE),"")</f>
        <v>2Q23</v>
      </c>
      <c r="AT114" s="19" t="str">
        <f>IFERROR(VLOOKUP(AT113,Dates!$B:$D,3,FALSE),"")</f>
        <v>3Q23</v>
      </c>
      <c r="AU114" s="20" t="str">
        <f>$G$3</f>
        <v>4Q23</v>
      </c>
    </row>
    <row r="115" spans="1:47" x14ac:dyDescent="0.35">
      <c r="A115" s="3"/>
      <c r="B115" s="3"/>
      <c r="C115" s="3"/>
      <c r="D115" s="3"/>
      <c r="E115" s="3"/>
      <c r="F115" s="3"/>
      <c r="G115" s="3"/>
      <c r="H115" s="3"/>
      <c r="I115" s="3"/>
      <c r="J115" s="3"/>
      <c r="K115" s="3"/>
      <c r="L115" s="3"/>
      <c r="M115" s="3"/>
      <c r="N115" s="3"/>
      <c r="O115" s="3"/>
      <c r="P115" s="3"/>
      <c r="Q115" s="3"/>
      <c r="R115" s="3"/>
      <c r="S115" s="3"/>
      <c r="T115" s="3"/>
      <c r="U115" s="3"/>
      <c r="V115" s="3"/>
      <c r="W115" s="3"/>
      <c r="AA115" s="21" t="str">
        <f>'Reported Group Highlights'!A43</f>
        <v>EBITDA Margin</v>
      </c>
      <c r="AB115" s="23">
        <f>IFERROR(INDEX('Reported Group Highlights'!$A:$AAW,MATCH($AA115,'Reported Group Highlights'!$A:$A,0),MATCH(AB114,'Reported Group Highlights'!$1:$1,0)),"")</f>
        <v>0.3819196329817684</v>
      </c>
      <c r="AC115" s="23">
        <f>IFERROR(INDEX('Reported Group Highlights'!$A:$AAW,MATCH($AA115,'Reported Group Highlights'!$A:$A,0),MATCH(AC114,'Reported Group Highlights'!$1:$1,0)),"")</f>
        <v>0.3928704584787121</v>
      </c>
      <c r="AD115" s="23">
        <f>IFERROR(INDEX('Reported Group Highlights'!$A:$AAW,MATCH($AA115,'Reported Group Highlights'!$A:$A,0),MATCH(AD114,'Reported Group Highlights'!$1:$1,0)),"")</f>
        <v>0.40348450955204707</v>
      </c>
      <c r="AE115" s="23">
        <f>IFERROR(INDEX('Reported Group Highlights'!$A:$AAW,MATCH($AA115,'Reported Group Highlights'!$A:$A,0),MATCH(AE114,'Reported Group Highlights'!$1:$1,0)),"")</f>
        <v>0.40671643536748731</v>
      </c>
      <c r="AF115" s="23">
        <f>IFERROR(INDEX('Reported Group Highlights'!$A:$AAW,MATCH($AA115,'Reported Group Highlights'!$A:$A,0),MATCH(AF114,'Reported Group Highlights'!$1:$1,0)),"")</f>
        <v>0.49006095133082178</v>
      </c>
      <c r="AG115" s="23">
        <f>IFERROR(INDEX('Reported Group Highlights'!$A:$AAW,MATCH($AA115,'Reported Group Highlights'!$A:$A,0),MATCH(AG114,'Reported Group Highlights'!$1:$1,0)),"")</f>
        <v>0.50204942772287786</v>
      </c>
      <c r="AH115" s="23">
        <f>IFERROR(INDEX('Reported Group Highlights'!$A:$AAW,MATCH($AA115,'Reported Group Highlights'!$A:$A,0),MATCH(AH114,'Reported Group Highlights'!$1:$1,0)),"")</f>
        <v>0.51795020711163131</v>
      </c>
      <c r="AI115" s="23">
        <f>IFERROR(INDEX('Reported Group Highlights'!$A:$AAW,MATCH($AA115,'Reported Group Highlights'!$A:$A,0),MATCH(AI114,'Reported Group Highlights'!$1:$1,0)),"")</f>
        <v>0.49819422302478972</v>
      </c>
      <c r="AJ115" s="23">
        <f>IFERROR(INDEX('Reported Group Highlights'!$A:$AAW,MATCH($AA115,'Reported Group Highlights'!$A:$A,0),MATCH(AJ114,'Reported Group Highlights'!$1:$1,0)),"")</f>
        <v>0.49925064383164541</v>
      </c>
      <c r="AK115" s="23">
        <f>IFERROR(INDEX('Reported Group Highlights'!$A:$AAW,MATCH($AA115,'Reported Group Highlights'!$A:$A,0),MATCH(AK114,'Reported Group Highlights'!$1:$1,0)),"")</f>
        <v>0.50082981062716558</v>
      </c>
      <c r="AL115" s="23">
        <f>IFERROR(INDEX('Reported Group Highlights'!$A:$AAW,MATCH($AA115,'Reported Group Highlights'!$A:$A,0),MATCH(AL114,'Reported Group Highlights'!$1:$1,0)),"")</f>
        <v>0.50073293354784665</v>
      </c>
      <c r="AM115" s="23">
        <f>IFERROR(INDEX('Reported Group Highlights'!$A:$AAW,MATCH($AA115,'Reported Group Highlights'!$A:$A,0),MATCH(AM114,'Reported Group Highlights'!$1:$1,0)),"")</f>
        <v>0.48620499386167992</v>
      </c>
      <c r="AN115" s="23">
        <f>IFERROR(INDEX('Reported Group Highlights'!$A:$AAW,MATCH($AA115,'Reported Group Highlights'!$A:$A,0),MATCH(AN114,'Reported Group Highlights'!$1:$1,0)),"")</f>
        <v>0.47077606410741879</v>
      </c>
      <c r="AO115" s="23">
        <f>IFERROR(INDEX('Reported Group Highlights'!$A:$AAW,MATCH($AA115,'Reported Group Highlights'!$A:$A,0),MATCH(AO114,'Reported Group Highlights'!$1:$1,0)),"")</f>
        <v>0.48549376010962347</v>
      </c>
      <c r="AP115" s="23">
        <f>IFERROR(INDEX('Reported Group Highlights'!$A:$AAW,MATCH($AA115,'Reported Group Highlights'!$A:$A,0),MATCH(AP114,'Reported Group Highlights'!$1:$1,0)),"")</f>
        <v>0.4844028401989201</v>
      </c>
      <c r="AQ115" s="23">
        <f>IFERROR(INDEX('Reported Group Highlights'!$A:$AAW,MATCH($AA115,'Reported Group Highlights'!$A:$A,0),MATCH(AQ114,'Reported Group Highlights'!$1:$1,0)),"")</f>
        <v>0.5112240038353727</v>
      </c>
      <c r="AR115" s="23">
        <f>IFERROR(INDEX('Reported Group Highlights'!$A:$AAW,MATCH($AA115,'Reported Group Highlights'!$A:$A,0),MATCH(AR114,'Reported Group Highlights'!$1:$1,0)),"")</f>
        <v>0.47473780110672342</v>
      </c>
      <c r="AS115" s="23">
        <f>IFERROR(INDEX('Reported Group Highlights'!$A:$AAW,MATCH($AA115,'Reported Group Highlights'!$A:$A,0),MATCH(AS114,'Reported Group Highlights'!$1:$1,0)),"")</f>
        <v>0.49518065940442257</v>
      </c>
      <c r="AT115" s="23">
        <f>IFERROR(INDEX('Reported Group Highlights'!$A:$AAW,MATCH($AA115,'Reported Group Highlights'!$A:$A,0),MATCH(AT114,'Reported Group Highlights'!$1:$1,0)),"")</f>
        <v>0.50633836162826473</v>
      </c>
      <c r="AU115" s="23">
        <f>IFERROR(INDEX('Reported Group Highlights'!$A:$AAW,MATCH($AA115,'Reported Group Highlights'!$A:$A,0),MATCH(AU114,'Reported Group Highlights'!$1:$1,0)),"")</f>
        <v>0.48847720130240074</v>
      </c>
    </row>
    <row r="116" spans="1:47" x14ac:dyDescent="0.35">
      <c r="A116" s="3"/>
      <c r="B116" s="3"/>
      <c r="C116" s="3"/>
      <c r="D116" s="3"/>
      <c r="E116" s="3"/>
      <c r="F116" s="3"/>
      <c r="G116" s="3"/>
      <c r="H116" s="3"/>
      <c r="I116" s="3"/>
      <c r="J116" s="3"/>
      <c r="K116" s="3"/>
      <c r="L116" s="3"/>
      <c r="M116" s="3"/>
      <c r="N116" s="3"/>
      <c r="O116" s="3"/>
      <c r="P116" s="3"/>
      <c r="Q116" s="3"/>
      <c r="R116" s="3"/>
      <c r="S116" s="3"/>
      <c r="T116" s="3"/>
      <c r="U116" s="3"/>
      <c r="V116" s="3"/>
      <c r="W116" s="3"/>
      <c r="AB116" s="23"/>
      <c r="AC116" s="23"/>
      <c r="AD116" s="23"/>
      <c r="AE116" s="23"/>
      <c r="AF116" s="23"/>
      <c r="AG116" s="23"/>
      <c r="AH116" s="23"/>
      <c r="AI116" s="23"/>
      <c r="AJ116" s="23"/>
      <c r="AK116" s="23"/>
      <c r="AL116" s="23"/>
      <c r="AM116" s="23"/>
      <c r="AN116" s="23"/>
      <c r="AO116" s="23"/>
      <c r="AP116" s="23"/>
      <c r="AQ116" s="23"/>
      <c r="AR116" s="23"/>
      <c r="AS116" s="23"/>
      <c r="AT116" s="23"/>
      <c r="AU116" s="23"/>
    </row>
    <row r="117" spans="1:47" x14ac:dyDescent="0.35">
      <c r="A117" s="3"/>
      <c r="B117" s="3"/>
      <c r="C117" s="3"/>
      <c r="D117" s="3"/>
      <c r="E117" s="3"/>
      <c r="F117" s="3"/>
      <c r="G117" s="3"/>
      <c r="H117" s="3"/>
      <c r="I117" s="3"/>
      <c r="J117" s="3"/>
      <c r="K117" s="3"/>
      <c r="L117" s="3"/>
      <c r="M117" s="3"/>
      <c r="N117" s="3"/>
      <c r="O117" s="3"/>
      <c r="P117" s="3"/>
      <c r="Q117" s="3"/>
      <c r="R117" s="3"/>
      <c r="S117" s="3"/>
      <c r="T117" s="3"/>
      <c r="U117" s="3"/>
      <c r="V117" s="3"/>
      <c r="W117" s="3"/>
    </row>
    <row r="118" spans="1:47" x14ac:dyDescent="0.35">
      <c r="A118" s="3"/>
      <c r="B118" s="3"/>
      <c r="C118" s="3"/>
      <c r="D118" s="3"/>
      <c r="E118" s="3"/>
      <c r="F118" s="3"/>
      <c r="G118" s="3"/>
      <c r="H118" s="3"/>
      <c r="I118" s="3"/>
      <c r="J118" s="3"/>
      <c r="K118" s="3"/>
      <c r="L118" s="3"/>
      <c r="M118" s="3"/>
      <c r="N118" s="3"/>
      <c r="O118" s="3"/>
      <c r="P118" s="3"/>
      <c r="Q118" s="3"/>
      <c r="R118" s="3"/>
      <c r="S118" s="3"/>
      <c r="T118" s="3"/>
      <c r="U118" s="3"/>
      <c r="V118" s="3"/>
      <c r="W118" s="3"/>
    </row>
    <row r="119" spans="1:47" x14ac:dyDescent="0.35">
      <c r="A119" s="3"/>
      <c r="B119" s="3"/>
      <c r="C119" s="3"/>
      <c r="D119" s="3"/>
      <c r="E119" s="3"/>
      <c r="F119" s="3"/>
      <c r="G119" s="3"/>
      <c r="H119" s="3"/>
      <c r="I119" s="3"/>
      <c r="J119" s="3"/>
      <c r="K119" s="3"/>
      <c r="L119" s="3"/>
      <c r="M119" s="3"/>
      <c r="N119" s="3"/>
      <c r="O119" s="3"/>
      <c r="P119" s="3"/>
      <c r="Q119" s="3"/>
      <c r="R119" s="3"/>
      <c r="S119" s="3"/>
      <c r="T119" s="3"/>
      <c r="U119" s="3"/>
      <c r="V119" s="3"/>
      <c r="W119" s="3"/>
    </row>
    <row r="120" spans="1:47" x14ac:dyDescent="0.35">
      <c r="A120" s="3"/>
      <c r="B120" s="3"/>
      <c r="C120" s="3"/>
      <c r="D120" s="3"/>
      <c r="E120" s="3"/>
      <c r="F120" s="3"/>
      <c r="G120" s="3"/>
      <c r="H120" s="3"/>
      <c r="I120" s="3"/>
      <c r="J120" s="3"/>
      <c r="K120" s="3"/>
      <c r="L120" s="3"/>
      <c r="M120" s="3"/>
      <c r="N120" s="3"/>
      <c r="O120" s="3"/>
      <c r="P120" s="3"/>
      <c r="Q120" s="3"/>
      <c r="R120" s="3"/>
      <c r="S120" s="3"/>
      <c r="T120" s="3"/>
      <c r="U120" s="3"/>
      <c r="V120" s="3"/>
      <c r="W120" s="3"/>
    </row>
    <row r="121" spans="1:47" x14ac:dyDescent="0.35">
      <c r="A121" s="3"/>
      <c r="B121" s="3"/>
      <c r="C121" s="3"/>
      <c r="D121" s="3"/>
      <c r="E121" s="3"/>
      <c r="F121" s="3"/>
      <c r="G121" s="3"/>
      <c r="H121" s="3"/>
      <c r="I121" s="3"/>
      <c r="J121" s="3"/>
      <c r="K121" s="3" t="s">
        <v>191</v>
      </c>
      <c r="L121" s="3"/>
      <c r="M121" s="3"/>
      <c r="N121" s="3"/>
      <c r="O121" s="3"/>
      <c r="P121" s="3"/>
      <c r="Q121" s="3"/>
      <c r="R121" s="3"/>
      <c r="S121" s="3"/>
      <c r="T121" s="3"/>
      <c r="U121" s="3"/>
      <c r="V121" s="3"/>
      <c r="W121" s="3"/>
    </row>
    <row r="122" spans="1:47" x14ac:dyDescent="0.35">
      <c r="A122" s="3"/>
      <c r="B122" s="3"/>
      <c r="C122" s="3"/>
      <c r="D122" s="3"/>
      <c r="E122" s="3"/>
      <c r="F122" s="3"/>
      <c r="G122" s="3"/>
      <c r="H122" s="3"/>
      <c r="I122" s="3"/>
      <c r="J122" s="3"/>
      <c r="K122" s="3"/>
      <c r="L122" s="3"/>
      <c r="M122" s="3"/>
      <c r="N122" s="3"/>
      <c r="O122" s="3"/>
      <c r="P122" s="3"/>
      <c r="Q122" s="3"/>
      <c r="R122" s="3"/>
      <c r="S122" s="3"/>
      <c r="T122" s="3"/>
      <c r="U122" s="3"/>
      <c r="V122" s="3"/>
      <c r="W122" s="3"/>
    </row>
    <row r="123" spans="1:47" x14ac:dyDescent="0.35">
      <c r="A123" s="1" t="s">
        <v>68</v>
      </c>
      <c r="B123" s="1" t="s">
        <v>154</v>
      </c>
      <c r="C123" s="1"/>
      <c r="D123" s="1"/>
      <c r="E123" s="1"/>
      <c r="F123" s="1"/>
      <c r="G123" s="1"/>
      <c r="H123" s="1"/>
      <c r="I123" s="1"/>
      <c r="J123" s="1"/>
      <c r="K123" s="1" t="s">
        <v>153</v>
      </c>
      <c r="L123" s="1" t="s">
        <v>133</v>
      </c>
      <c r="M123" s="1"/>
      <c r="N123" s="1"/>
      <c r="O123" s="1"/>
      <c r="P123" s="1"/>
      <c r="Q123" s="1"/>
      <c r="R123" s="1"/>
      <c r="S123" s="1"/>
      <c r="T123" s="1"/>
      <c r="U123" s="3"/>
      <c r="V123" s="3"/>
      <c r="W123" s="3"/>
    </row>
    <row r="124" spans="1:47" x14ac:dyDescent="0.35">
      <c r="A124" s="3"/>
      <c r="B124" s="3"/>
      <c r="C124" s="3"/>
      <c r="D124" s="3"/>
      <c r="E124" s="3"/>
      <c r="F124" s="3"/>
      <c r="G124" s="3"/>
      <c r="H124" s="3"/>
      <c r="I124" s="3"/>
      <c r="J124" s="3"/>
      <c r="K124" s="3"/>
      <c r="L124" s="3"/>
      <c r="M124" s="3"/>
      <c r="N124" s="3"/>
      <c r="O124" s="3"/>
      <c r="P124" s="3"/>
      <c r="Q124" s="3"/>
      <c r="R124" s="3"/>
      <c r="S124" s="3"/>
      <c r="T124" s="3"/>
      <c r="U124" s="3"/>
      <c r="V124" s="3"/>
      <c r="W124" s="3"/>
    </row>
    <row r="125" spans="1:47" x14ac:dyDescent="0.35">
      <c r="A125" s="3"/>
      <c r="B125" s="3"/>
      <c r="C125" s="3"/>
      <c r="D125" s="3"/>
      <c r="E125" s="3"/>
      <c r="F125" s="3"/>
      <c r="G125" s="3"/>
      <c r="H125" s="3"/>
      <c r="I125" s="3"/>
      <c r="J125" s="3"/>
      <c r="K125" s="3"/>
      <c r="L125" s="3"/>
      <c r="M125" s="3"/>
      <c r="N125" s="3"/>
      <c r="O125" s="3"/>
      <c r="P125" s="3"/>
      <c r="Q125" s="3"/>
      <c r="R125" s="3"/>
      <c r="S125" s="3"/>
      <c r="T125" s="3"/>
      <c r="U125" s="3"/>
      <c r="V125" s="3"/>
      <c r="W125" s="3"/>
    </row>
    <row r="126" spans="1:47" x14ac:dyDescent="0.35">
      <c r="A126" s="3"/>
      <c r="B126" s="3"/>
      <c r="C126" s="3"/>
      <c r="D126" s="3"/>
      <c r="E126" s="3"/>
      <c r="F126" s="3"/>
      <c r="G126" s="3"/>
      <c r="H126" s="3"/>
      <c r="I126" s="3"/>
      <c r="J126" s="3"/>
      <c r="K126" s="3"/>
      <c r="L126" s="3"/>
      <c r="M126" s="3"/>
      <c r="N126" s="3"/>
      <c r="O126" s="3"/>
      <c r="P126" s="3"/>
      <c r="Q126" s="3"/>
      <c r="R126" s="3"/>
      <c r="S126" s="3"/>
      <c r="T126" s="3"/>
      <c r="U126" s="3"/>
      <c r="V126" s="3"/>
      <c r="W126" s="3"/>
      <c r="AB126" s="19">
        <f t="shared" ref="AB126:AR126" si="99">AC126-1</f>
        <v>29</v>
      </c>
      <c r="AC126" s="19">
        <f t="shared" si="99"/>
        <v>30</v>
      </c>
      <c r="AD126" s="19">
        <f t="shared" si="99"/>
        <v>31</v>
      </c>
      <c r="AE126" s="19">
        <f t="shared" si="99"/>
        <v>32</v>
      </c>
      <c r="AF126" s="19">
        <f t="shared" si="99"/>
        <v>33</v>
      </c>
      <c r="AG126" s="19">
        <f t="shared" si="99"/>
        <v>34</v>
      </c>
      <c r="AH126" s="19">
        <f t="shared" si="99"/>
        <v>35</v>
      </c>
      <c r="AI126" s="19">
        <f t="shared" si="99"/>
        <v>36</v>
      </c>
      <c r="AJ126" s="19">
        <f t="shared" si="99"/>
        <v>37</v>
      </c>
      <c r="AK126" s="19">
        <f t="shared" si="99"/>
        <v>38</v>
      </c>
      <c r="AL126" s="19">
        <f t="shared" si="99"/>
        <v>39</v>
      </c>
      <c r="AM126" s="19">
        <f t="shared" si="99"/>
        <v>40</v>
      </c>
      <c r="AN126" s="19">
        <f t="shared" si="99"/>
        <v>41</v>
      </c>
      <c r="AO126" s="19">
        <f t="shared" si="99"/>
        <v>42</v>
      </c>
      <c r="AP126" s="19">
        <f t="shared" si="99"/>
        <v>43</v>
      </c>
      <c r="AQ126" s="19">
        <f t="shared" si="99"/>
        <v>44</v>
      </c>
      <c r="AR126" s="19">
        <f t="shared" si="99"/>
        <v>45</v>
      </c>
      <c r="AS126" s="19">
        <f t="shared" ref="AS126" si="100">AT126-1</f>
        <v>46</v>
      </c>
      <c r="AT126" s="19">
        <f>AU126-1</f>
        <v>47</v>
      </c>
      <c r="AU126" s="19">
        <f>VLOOKUP(AU127,Dates!$A:$D,2,FALSE)</f>
        <v>48</v>
      </c>
    </row>
    <row r="127" spans="1:47" x14ac:dyDescent="0.35">
      <c r="A127" s="3"/>
      <c r="B127" s="3"/>
      <c r="C127" s="3"/>
      <c r="D127" s="3"/>
      <c r="E127" s="3"/>
      <c r="F127" s="3"/>
      <c r="G127" s="3"/>
      <c r="H127" s="3"/>
      <c r="I127" s="3"/>
      <c r="J127" s="3"/>
      <c r="K127" s="3"/>
      <c r="L127" s="3"/>
      <c r="M127" s="3"/>
      <c r="N127" s="3"/>
      <c r="O127" s="3"/>
      <c r="P127" s="3"/>
      <c r="Q127" s="3"/>
      <c r="R127" s="3"/>
      <c r="S127" s="3"/>
      <c r="T127" s="3"/>
      <c r="U127" s="3"/>
      <c r="V127" s="3"/>
      <c r="W127" s="3"/>
      <c r="AB127" s="19" t="str">
        <f>IFERROR(VLOOKUP(AB126,Dates!$B:$D,3,FALSE),"")</f>
        <v>1Q19</v>
      </c>
      <c r="AC127" s="19" t="str">
        <f>IFERROR(VLOOKUP(AC126,Dates!$B:$D,3,FALSE),"")</f>
        <v>2Q19</v>
      </c>
      <c r="AD127" s="19" t="str">
        <f>IFERROR(VLOOKUP(AD126,Dates!$B:$D,3,FALSE),"")</f>
        <v>3Q19</v>
      </c>
      <c r="AE127" s="19" t="str">
        <f>IFERROR(VLOOKUP(AE126,Dates!$B:$D,3,FALSE),"")</f>
        <v>4Q19</v>
      </c>
      <c r="AF127" s="19" t="str">
        <f>IFERROR(VLOOKUP(AF126,Dates!$B:$D,3,FALSE),"")</f>
        <v>1Q20</v>
      </c>
      <c r="AG127" s="19" t="str">
        <f>IFERROR(VLOOKUP(AG126,Dates!$B:$D,3,FALSE),"")</f>
        <v>2Q20</v>
      </c>
      <c r="AH127" s="19" t="str">
        <f>IFERROR(VLOOKUP(AH126,Dates!$B:$D,3,FALSE),"")</f>
        <v>3Q20</v>
      </c>
      <c r="AI127" s="19" t="str">
        <f>IFERROR(VLOOKUP(AI126,Dates!$B:$D,3,FALSE),"")</f>
        <v>4Q20</v>
      </c>
      <c r="AJ127" s="19" t="str">
        <f>IFERROR(VLOOKUP(AJ126,Dates!$B:$D,3,FALSE),"")</f>
        <v>1Q21</v>
      </c>
      <c r="AK127" s="19" t="str">
        <f>IFERROR(VLOOKUP(AK126,Dates!$B:$D,3,FALSE),"")</f>
        <v>2Q21</v>
      </c>
      <c r="AL127" s="19" t="str">
        <f>IFERROR(VLOOKUP(AL126,Dates!$B:$D,3,FALSE),"")</f>
        <v>3Q21</v>
      </c>
      <c r="AM127" s="19" t="str">
        <f>IFERROR(VLOOKUP(AM126,Dates!$B:$D,3,FALSE),"")</f>
        <v>4Q21</v>
      </c>
      <c r="AN127" s="19" t="str">
        <f>IFERROR(VLOOKUP(AN126,Dates!$B:$D,3,FALSE),"")</f>
        <v>1Q22</v>
      </c>
      <c r="AO127" s="19" t="str">
        <f>IFERROR(VLOOKUP(AO126,Dates!$B:$D,3,FALSE),"")</f>
        <v>2Q22</v>
      </c>
      <c r="AP127" s="19" t="str">
        <f>IFERROR(VLOOKUP(AP126,Dates!$B:$D,3,FALSE),"")</f>
        <v>3Q22</v>
      </c>
      <c r="AQ127" s="19" t="str">
        <f>IFERROR(VLOOKUP(AQ126,Dates!$B:$D,3,FALSE),"")</f>
        <v>4Q22</v>
      </c>
      <c r="AR127" s="19" t="str">
        <f>IFERROR(VLOOKUP(AR126,Dates!$B:$D,3,FALSE),"")</f>
        <v>1Q23</v>
      </c>
      <c r="AS127" s="19" t="str">
        <f>IFERROR(VLOOKUP(AS126,Dates!$B:$D,3,FALSE),"")</f>
        <v>2Q23</v>
      </c>
      <c r="AT127" s="19" t="str">
        <f>IFERROR(VLOOKUP(AT126,Dates!$B:$D,3,FALSE),"")</f>
        <v>3Q23</v>
      </c>
      <c r="AU127" s="20" t="str">
        <f>$G$3</f>
        <v>4Q23</v>
      </c>
    </row>
    <row r="128" spans="1:47" x14ac:dyDescent="0.35">
      <c r="A128" s="3"/>
      <c r="B128" s="3"/>
      <c r="C128" s="3"/>
      <c r="D128" s="3"/>
      <c r="E128" s="3"/>
      <c r="F128" s="3"/>
      <c r="G128" s="3"/>
      <c r="H128" s="3"/>
      <c r="I128" s="3"/>
      <c r="J128" s="3"/>
      <c r="K128" s="3"/>
      <c r="L128" s="3"/>
      <c r="M128" s="3"/>
      <c r="N128" s="3"/>
      <c r="O128" s="3"/>
      <c r="P128" s="3"/>
      <c r="Q128" s="3"/>
      <c r="R128" s="3"/>
      <c r="S128" s="3"/>
      <c r="T128" s="3"/>
      <c r="U128" s="3"/>
      <c r="V128" s="3"/>
      <c r="W128" s="3"/>
      <c r="AA128" s="21" t="str">
        <f>'Reported Group Highlights'!A87</f>
        <v>EBITDA growth (% QoQ)</v>
      </c>
      <c r="AB128" s="23">
        <f>IFERROR(INDEX('Reported Group Highlights'!$A:$AAW,MATCH($AA128,'Reported Group Highlights'!$A:$A,0),MATCH(AB127,'Reported Group Highlights'!$1:$1,0)),"")</f>
        <v>-3.062526584432157E-2</v>
      </c>
      <c r="AC128" s="23">
        <f>IFERROR(INDEX('Reported Group Highlights'!$A:$AAW,MATCH($AA128,'Reported Group Highlights'!$A:$A,0),MATCH(AC127,'Reported Group Highlights'!$1:$1,0)),"")</f>
        <v>8.4247476963580592E-2</v>
      </c>
      <c r="AD128" s="23">
        <f>IFERROR(INDEX('Reported Group Highlights'!$A:$AAW,MATCH($AA128,'Reported Group Highlights'!$A:$A,0),MATCH(AD127,'Reported Group Highlights'!$1:$1,0)),"")</f>
        <v>5.5443140428976134E-2</v>
      </c>
      <c r="AE128" s="23">
        <f>IFERROR(INDEX('Reported Group Highlights'!$A:$AAW,MATCH($AA128,'Reported Group Highlights'!$A:$A,0),MATCH(AE127,'Reported Group Highlights'!$1:$1,0)),"")</f>
        <v>0</v>
      </c>
      <c r="AF128" s="23">
        <f>IFERROR(INDEX('Reported Group Highlights'!$A:$AAW,MATCH($AA128,'Reported Group Highlights'!$A:$A,0),MATCH(AF127,'Reported Group Highlights'!$1:$1,0)),"")</f>
        <v>0.22085889570552153</v>
      </c>
      <c r="AG128" s="23">
        <f>IFERROR(INDEX('Reported Group Highlights'!$A:$AAW,MATCH($AA128,'Reported Group Highlights'!$A:$A,0),MATCH(AG127,'Reported Group Highlights'!$1:$1,0)),"")</f>
        <v>3.831658291457285E-2</v>
      </c>
      <c r="AH128" s="23">
        <f>IFERROR(INDEX('Reported Group Highlights'!$A:$AAW,MATCH($AA128,'Reported Group Highlights'!$A:$A,0),MATCH(AH127,'Reported Group Highlights'!$1:$1,0)),"")</f>
        <v>2.9945553539020064E-2</v>
      </c>
      <c r="AI128" s="23">
        <f>IFERROR(INDEX('Reported Group Highlights'!$A:$AAW,MATCH($AA128,'Reported Group Highlights'!$A:$A,0),MATCH(AI127,'Reported Group Highlights'!$1:$1,0)),"")</f>
        <v>-7.0484581497797349E-2</v>
      </c>
      <c r="AJ128" s="23">
        <f>IFERROR(INDEX('Reported Group Highlights'!$A:$AAW,MATCH($AA128,'Reported Group Highlights'!$A:$A,0),MATCH(AJ127,'Reported Group Highlights'!$1:$1,0)),"")</f>
        <v>-1.4533965244865721E-2</v>
      </c>
      <c r="AK128" s="23">
        <f>IFERROR(INDEX('Reported Group Highlights'!$A:$AAW,MATCH($AA128,'Reported Group Highlights'!$A:$A,0),MATCH(AK127,'Reported Group Highlights'!$1:$1,0)),"")</f>
        <v>8.0153895479320392E-2</v>
      </c>
      <c r="AL128" s="23">
        <f>IFERROR(INDEX('Reported Group Highlights'!$A:$AAW,MATCH($AA128,'Reported Group Highlights'!$A:$A,0),MATCH(AL127,'Reported Group Highlights'!$1:$1,0)),"")</f>
        <v>1.4544375185514991E-2</v>
      </c>
      <c r="AM128" s="23">
        <f>IFERROR(INDEX('Reported Group Highlights'!$A:$AAW,MATCH($AA128,'Reported Group Highlights'!$A:$A,0),MATCH(AM127,'Reported Group Highlights'!$1:$1,0)),"")</f>
        <v>-1.0825043885313024E-2</v>
      </c>
      <c r="AN128" s="23">
        <f>IFERROR(INDEX('Reported Group Highlights'!$A:$AAW,MATCH($AA128,'Reported Group Highlights'!$A:$A,0),MATCH(AN127,'Reported Group Highlights'!$1:$1,0)),"")</f>
        <v>-6.1224489795918324E-2</v>
      </c>
      <c r="AO128" s="23">
        <f>IFERROR(INDEX('Reported Group Highlights'!$A:$AAW,MATCH($AA128,'Reported Group Highlights'!$A:$A,0),MATCH(AO127,'Reported Group Highlights'!$1:$1,0)),"")</f>
        <v>0.12161310649023305</v>
      </c>
      <c r="AP128" s="23">
        <f>IFERROR(INDEX('Reported Group Highlights'!$A:$AAW,MATCH($AA128,'Reported Group Highlights'!$A:$A,0),MATCH(AP127,'Reported Group Highlights'!$1:$1,0)),"")</f>
        <v>2.3314606741573041E-2</v>
      </c>
      <c r="AQ128" s="23">
        <f>IFERROR(INDEX('Reported Group Highlights'!$A:$AAW,MATCH($AA128,'Reported Group Highlights'!$A:$A,0),MATCH(AQ127,'Reported Group Highlights'!$1:$1,0)),"")</f>
        <v>5.901729343947304E-2</v>
      </c>
      <c r="AR128" s="23">
        <f>IFERROR(INDEX('Reported Group Highlights'!$A:$AAW,MATCH($AA128,'Reported Group Highlights'!$A:$A,0),MATCH(AR127,'Reported Group Highlights'!$1:$1,0)),"")</f>
        <v>-7.1280456194919628E-2</v>
      </c>
      <c r="AS128" s="23">
        <f>IFERROR(INDEX('Reported Group Highlights'!$A:$AAW,MATCH($AA128,'Reported Group Highlights'!$A:$A,0),MATCH(AS127,'Reported Group Highlights'!$1:$1,0)),"")</f>
        <v>0.13564052469997212</v>
      </c>
      <c r="AT128" s="23">
        <f>IFERROR(INDEX('Reported Group Highlights'!$A:$AAW,MATCH($AA128,'Reported Group Highlights'!$A:$A,0),MATCH(AT127,'Reported Group Highlights'!$1:$1,0)),"")</f>
        <v>8.3558613910050816E-3</v>
      </c>
      <c r="AU128" s="23">
        <f>IFERROR(INDEX('Reported Group Highlights'!$A:$AAW,MATCH($AA128,'Reported Group Highlights'!$A:$A,0),MATCH(AU127,'Reported Group Highlights'!$1:$1,0)),"")</f>
        <v>6.5805508164757942E-3</v>
      </c>
    </row>
    <row r="129" spans="1:47" x14ac:dyDescent="0.35">
      <c r="A129" s="3"/>
      <c r="B129" s="3"/>
      <c r="C129" s="3"/>
      <c r="D129" s="3"/>
      <c r="E129" s="3"/>
      <c r="F129" s="3"/>
      <c r="G129" s="3"/>
      <c r="H129" s="3"/>
      <c r="I129" s="3"/>
      <c r="J129" s="3"/>
      <c r="K129" s="3"/>
      <c r="L129" s="3"/>
      <c r="M129" s="3"/>
      <c r="N129" s="3"/>
      <c r="O129" s="3"/>
      <c r="P129" s="3"/>
      <c r="Q129" s="3"/>
      <c r="R129" s="3"/>
      <c r="S129" s="3"/>
      <c r="T129" s="3"/>
      <c r="U129" s="3"/>
      <c r="V129" s="3"/>
      <c r="W129" s="3"/>
    </row>
    <row r="130" spans="1:47" x14ac:dyDescent="0.35">
      <c r="A130" s="3"/>
      <c r="B130" s="3"/>
      <c r="C130" s="3"/>
      <c r="D130" s="3"/>
      <c r="E130" s="3"/>
      <c r="F130" s="3"/>
      <c r="G130" s="3"/>
      <c r="H130" s="3"/>
      <c r="I130" s="3"/>
      <c r="J130" s="3"/>
      <c r="K130" s="3"/>
      <c r="L130" s="3"/>
      <c r="M130" s="3"/>
      <c r="N130" s="3"/>
      <c r="O130" s="3"/>
      <c r="P130" s="3"/>
      <c r="Q130" s="3"/>
      <c r="R130" s="3"/>
      <c r="S130" s="3"/>
      <c r="T130" s="3"/>
      <c r="U130" s="3"/>
      <c r="V130" s="3"/>
      <c r="W130" s="3"/>
    </row>
    <row r="131" spans="1:47" x14ac:dyDescent="0.35">
      <c r="A131" s="3"/>
      <c r="B131" s="3"/>
      <c r="C131" s="3"/>
      <c r="D131" s="3"/>
      <c r="E131" s="3"/>
      <c r="F131" s="3"/>
      <c r="G131" s="3"/>
      <c r="H131" s="3"/>
      <c r="I131" s="3"/>
      <c r="J131" s="3"/>
      <c r="K131" s="3"/>
      <c r="L131" s="3"/>
      <c r="M131" s="3"/>
      <c r="N131" s="3"/>
      <c r="O131" s="3"/>
      <c r="P131" s="3"/>
      <c r="Q131" s="3"/>
      <c r="R131" s="3"/>
      <c r="S131" s="3"/>
      <c r="T131" s="3"/>
      <c r="U131" s="3"/>
      <c r="V131" s="3"/>
      <c r="W131" s="3"/>
    </row>
    <row r="132" spans="1:47" x14ac:dyDescent="0.35">
      <c r="A132" s="3"/>
      <c r="B132" s="3"/>
      <c r="C132" s="3"/>
      <c r="D132" s="3"/>
      <c r="E132" s="3"/>
      <c r="F132" s="3"/>
      <c r="G132" s="3"/>
      <c r="H132" s="3"/>
      <c r="I132" s="3"/>
      <c r="J132" s="3"/>
      <c r="K132" s="3"/>
      <c r="L132" s="3"/>
      <c r="M132" s="3"/>
      <c r="N132" s="3"/>
      <c r="O132" s="3"/>
      <c r="P132" s="3"/>
      <c r="Q132" s="3"/>
      <c r="R132" s="3"/>
      <c r="S132" s="3"/>
      <c r="T132" s="3"/>
      <c r="U132" s="3"/>
      <c r="V132" s="3"/>
      <c r="W132" s="3"/>
      <c r="AB132" s="19">
        <f t="shared" ref="AB132:AR132" si="101">AC132-1</f>
        <v>29</v>
      </c>
      <c r="AC132" s="19">
        <f t="shared" si="101"/>
        <v>30</v>
      </c>
      <c r="AD132" s="19">
        <f t="shared" si="101"/>
        <v>31</v>
      </c>
      <c r="AE132" s="19">
        <f t="shared" si="101"/>
        <v>32</v>
      </c>
      <c r="AF132" s="19">
        <f t="shared" si="101"/>
        <v>33</v>
      </c>
      <c r="AG132" s="19">
        <f t="shared" si="101"/>
        <v>34</v>
      </c>
      <c r="AH132" s="19">
        <f t="shared" si="101"/>
        <v>35</v>
      </c>
      <c r="AI132" s="19">
        <f t="shared" si="101"/>
        <v>36</v>
      </c>
      <c r="AJ132" s="19">
        <f t="shared" si="101"/>
        <v>37</v>
      </c>
      <c r="AK132" s="19">
        <f t="shared" si="101"/>
        <v>38</v>
      </c>
      <c r="AL132" s="19">
        <f t="shared" si="101"/>
        <v>39</v>
      </c>
      <c r="AM132" s="19">
        <f t="shared" si="101"/>
        <v>40</v>
      </c>
      <c r="AN132" s="19">
        <f t="shared" si="101"/>
        <v>41</v>
      </c>
      <c r="AO132" s="19">
        <f t="shared" si="101"/>
        <v>42</v>
      </c>
      <c r="AP132" s="19">
        <f t="shared" si="101"/>
        <v>43</v>
      </c>
      <c r="AQ132" s="19">
        <f t="shared" si="101"/>
        <v>44</v>
      </c>
      <c r="AR132" s="19">
        <f t="shared" si="101"/>
        <v>45</v>
      </c>
      <c r="AS132" s="19">
        <f t="shared" ref="AS132" si="102">AT132-1</f>
        <v>46</v>
      </c>
      <c r="AT132" s="19">
        <f>AU132-1</f>
        <v>47</v>
      </c>
      <c r="AU132" s="19">
        <f>VLOOKUP(AU133,Dates!$A:$D,2,FALSE)</f>
        <v>48</v>
      </c>
    </row>
    <row r="133" spans="1:47" x14ac:dyDescent="0.35">
      <c r="A133" s="3"/>
      <c r="B133" s="3"/>
      <c r="C133" s="3"/>
      <c r="D133" s="3"/>
      <c r="E133" s="3"/>
      <c r="F133" s="3"/>
      <c r="G133" s="3"/>
      <c r="H133" s="3"/>
      <c r="I133" s="3"/>
      <c r="J133" s="3"/>
      <c r="K133" s="3"/>
      <c r="L133" s="3"/>
      <c r="M133" s="3"/>
      <c r="N133" s="3"/>
      <c r="O133" s="3"/>
      <c r="P133" s="3"/>
      <c r="Q133" s="3"/>
      <c r="R133" s="3"/>
      <c r="S133" s="3"/>
      <c r="T133" s="3"/>
      <c r="U133" s="3"/>
      <c r="V133" s="3"/>
      <c r="W133" s="3"/>
      <c r="AB133" s="19" t="str">
        <f>IFERROR(VLOOKUP(AB132,Dates!$B:$D,3,FALSE),"")</f>
        <v>1Q19</v>
      </c>
      <c r="AC133" s="19" t="str">
        <f>IFERROR(VLOOKUP(AC132,Dates!$B:$D,3,FALSE),"")</f>
        <v>2Q19</v>
      </c>
      <c r="AD133" s="19" t="str">
        <f>IFERROR(VLOOKUP(AD132,Dates!$B:$D,3,FALSE),"")</f>
        <v>3Q19</v>
      </c>
      <c r="AE133" s="19" t="str">
        <f>IFERROR(VLOOKUP(AE132,Dates!$B:$D,3,FALSE),"")</f>
        <v>4Q19</v>
      </c>
      <c r="AF133" s="19" t="str">
        <f>IFERROR(VLOOKUP(AF132,Dates!$B:$D,3,FALSE),"")</f>
        <v>1Q20</v>
      </c>
      <c r="AG133" s="19" t="str">
        <f>IFERROR(VLOOKUP(AG132,Dates!$B:$D,3,FALSE),"")</f>
        <v>2Q20</v>
      </c>
      <c r="AH133" s="19" t="str">
        <f>IFERROR(VLOOKUP(AH132,Dates!$B:$D,3,FALSE),"")</f>
        <v>3Q20</v>
      </c>
      <c r="AI133" s="19" t="str">
        <f>IFERROR(VLOOKUP(AI132,Dates!$B:$D,3,FALSE),"")</f>
        <v>4Q20</v>
      </c>
      <c r="AJ133" s="19" t="str">
        <f>IFERROR(VLOOKUP(AJ132,Dates!$B:$D,3,FALSE),"")</f>
        <v>1Q21</v>
      </c>
      <c r="AK133" s="19" t="str">
        <f>IFERROR(VLOOKUP(AK132,Dates!$B:$D,3,FALSE),"")</f>
        <v>2Q21</v>
      </c>
      <c r="AL133" s="19" t="str">
        <f>IFERROR(VLOOKUP(AL132,Dates!$B:$D,3,FALSE),"")</f>
        <v>3Q21</v>
      </c>
      <c r="AM133" s="19" t="str">
        <f>IFERROR(VLOOKUP(AM132,Dates!$B:$D,3,FALSE),"")</f>
        <v>4Q21</v>
      </c>
      <c r="AN133" s="19" t="str">
        <f>IFERROR(VLOOKUP(AN132,Dates!$B:$D,3,FALSE),"")</f>
        <v>1Q22</v>
      </c>
      <c r="AO133" s="19" t="str">
        <f>IFERROR(VLOOKUP(AO132,Dates!$B:$D,3,FALSE),"")</f>
        <v>2Q22</v>
      </c>
      <c r="AP133" s="19" t="str">
        <f>IFERROR(VLOOKUP(AP132,Dates!$B:$D,3,FALSE),"")</f>
        <v>3Q22</v>
      </c>
      <c r="AQ133" s="19" t="str">
        <f>IFERROR(VLOOKUP(AQ132,Dates!$B:$D,3,FALSE),"")</f>
        <v>4Q22</v>
      </c>
      <c r="AR133" s="19" t="str">
        <f>IFERROR(VLOOKUP(AR132,Dates!$B:$D,3,FALSE),"")</f>
        <v>1Q23</v>
      </c>
      <c r="AS133" s="19" t="str">
        <f>IFERROR(VLOOKUP(AS132,Dates!$B:$D,3,FALSE),"")</f>
        <v>2Q23</v>
      </c>
      <c r="AT133" s="19" t="str">
        <f>IFERROR(VLOOKUP(AT132,Dates!$B:$D,3,FALSE),"")</f>
        <v>3Q23</v>
      </c>
      <c r="AU133" s="20" t="str">
        <f>$G$3</f>
        <v>4Q23</v>
      </c>
    </row>
    <row r="134" spans="1:47" x14ac:dyDescent="0.35">
      <c r="A134" s="3"/>
      <c r="B134" s="3"/>
      <c r="C134" s="3"/>
      <c r="D134" s="3"/>
      <c r="E134" s="3"/>
      <c r="F134" s="3"/>
      <c r="G134" s="3"/>
      <c r="H134" s="3"/>
      <c r="I134" s="3"/>
      <c r="J134" s="3"/>
      <c r="K134" s="3"/>
      <c r="L134" s="3"/>
      <c r="M134" s="3"/>
      <c r="N134" s="3"/>
      <c r="O134" s="3"/>
      <c r="P134" s="3"/>
      <c r="Q134" s="3"/>
      <c r="R134" s="3"/>
      <c r="S134" s="3"/>
      <c r="T134" s="3"/>
      <c r="U134" s="3"/>
      <c r="V134" s="3"/>
      <c r="W134" s="3"/>
      <c r="AA134" s="21" t="str">
        <f>'Reported Group Highlights'!A57</f>
        <v>Underlying Earnings</v>
      </c>
      <c r="AB134" s="22">
        <f>IFERROR(INDEX('Reported Group Highlights'!$A:$AAW,MATCH($AA134,'Reported Group Highlights'!$A:$A,0),MATCH(AB133,'Reported Group Highlights'!$1:$1,0)),"")</f>
        <v>69</v>
      </c>
      <c r="AC134" s="22">
        <f>IFERROR(INDEX('Reported Group Highlights'!$A:$AAW,MATCH($AA134,'Reported Group Highlights'!$A:$A,0),MATCH(AC133,'Reported Group Highlights'!$1:$1,0)),"")</f>
        <v>223</v>
      </c>
      <c r="AD134" s="22">
        <f>IFERROR(INDEX('Reported Group Highlights'!$A:$AAW,MATCH($AA134,'Reported Group Highlights'!$A:$A,0),MATCH(AD133,'Reported Group Highlights'!$1:$1,0)),"")</f>
        <v>214</v>
      </c>
      <c r="AE134" s="22">
        <f>IFERROR(INDEX('Reported Group Highlights'!$A:$AAW,MATCH($AA134,'Reported Group Highlights'!$A:$A,0),MATCH(AE133,'Reported Group Highlights'!$1:$1,0)),"")</f>
        <v>214</v>
      </c>
      <c r="AF134" s="22">
        <f>IFERROR(INDEX('Reported Group Highlights'!$A:$AAW,MATCH($AA134,'Reported Group Highlights'!$A:$A,0),MATCH(AF133,'Reported Group Highlights'!$1:$1,0)),"")</f>
        <v>113</v>
      </c>
      <c r="AG134" s="22">
        <f>IFERROR(INDEX('Reported Group Highlights'!$A:$AAW,MATCH($AA134,'Reported Group Highlights'!$A:$A,0),MATCH(AG133,'Reported Group Highlights'!$1:$1,0)),"")</f>
        <v>144</v>
      </c>
      <c r="AH134" s="22">
        <f>IFERROR(INDEX('Reported Group Highlights'!$A:$AAW,MATCH($AA134,'Reported Group Highlights'!$A:$A,0),MATCH(AH133,'Reported Group Highlights'!$1:$1,0)),"")</f>
        <v>331</v>
      </c>
      <c r="AI134" s="22">
        <f>IFERROR(INDEX('Reported Group Highlights'!$A:$AAW,MATCH($AA134,'Reported Group Highlights'!$A:$A,0),MATCH(AI133,'Reported Group Highlights'!$1:$1,0)),"")</f>
        <v>166</v>
      </c>
      <c r="AJ134" s="22">
        <f>IFERROR(INDEX('Reported Group Highlights'!$A:$AAW,MATCH($AA134,'Reported Group Highlights'!$A:$A,0),MATCH(AJ133,'Reported Group Highlights'!$1:$1,0)),"")</f>
        <v>230</v>
      </c>
      <c r="AK134" s="22">
        <f>IFERROR(INDEX('Reported Group Highlights'!$A:$AAW,MATCH($AA134,'Reported Group Highlights'!$A:$A,0),MATCH(AK133,'Reported Group Highlights'!$1:$1,0)),"")</f>
        <v>333</v>
      </c>
      <c r="AL134" s="22">
        <f>IFERROR(INDEX('Reported Group Highlights'!$A:$AAW,MATCH($AA134,'Reported Group Highlights'!$A:$A,0),MATCH(AL133,'Reported Group Highlights'!$1:$1,0)),"")</f>
        <v>272</v>
      </c>
      <c r="AM134" s="22">
        <f>IFERROR(INDEX('Reported Group Highlights'!$A:$AAW,MATCH($AA134,'Reported Group Highlights'!$A:$A,0),MATCH(AM133,'Reported Group Highlights'!$1:$1,0)),"")</f>
        <v>269</v>
      </c>
      <c r="AN134" s="22">
        <f>IFERROR(INDEX('Reported Group Highlights'!$A:$AAW,MATCH($AA134,'Reported Group Highlights'!$A:$A,0),MATCH(AN133,'Reported Group Highlights'!$1:$1,0)),"")</f>
        <v>171</v>
      </c>
      <c r="AO134" s="22">
        <f>IFERROR(INDEX('Reported Group Highlights'!$A:$AAW,MATCH($AA134,'Reported Group Highlights'!$A:$A,0),MATCH(AO133,'Reported Group Highlights'!$1:$1,0)),"")</f>
        <v>446</v>
      </c>
      <c r="AP134" s="22">
        <f>IFERROR(INDEX('Reported Group Highlights'!$A:$AAW,MATCH($AA134,'Reported Group Highlights'!$A:$A,0),MATCH(AP133,'Reported Group Highlights'!$1:$1,0)),"")</f>
        <v>371.7600000000001</v>
      </c>
      <c r="AQ134" s="22">
        <f>IFERROR(INDEX('Reported Group Highlights'!$A:$AAW,MATCH($AA134,'Reported Group Highlights'!$A:$A,0),MATCH(AQ133,'Reported Group Highlights'!$1:$1,0)),"")</f>
        <v>132.41600000000003</v>
      </c>
      <c r="AR134" s="22">
        <f>IFERROR(INDEX('Reported Group Highlights'!$A:$AAW,MATCH($AA134,'Reported Group Highlights'!$A:$A,0),MATCH(AR133,'Reported Group Highlights'!$1:$1,0)),"")</f>
        <v>204.17500000000001</v>
      </c>
      <c r="AS134" s="22">
        <f>IFERROR(INDEX('Reported Group Highlights'!$A:$AAW,MATCH($AA134,'Reported Group Highlights'!$A:$A,0),MATCH(AS133,'Reported Group Highlights'!$1:$1,0)),"")</f>
        <v>453.34899999999999</v>
      </c>
      <c r="AT134" s="22">
        <f>IFERROR(INDEX('Reported Group Highlights'!$A:$AAW,MATCH($AA134,'Reported Group Highlights'!$A:$A,0),MATCH(AT133,'Reported Group Highlights'!$1:$1,0)),"")</f>
        <v>361.05899999999991</v>
      </c>
      <c r="AU134" s="22">
        <f>IFERROR(INDEX('Reported Group Highlights'!$A:$AAW,MATCH($AA134,'Reported Group Highlights'!$A:$A,0),MATCH(AU133,'Reported Group Highlights'!$1:$1,0)),"")</f>
        <v>265.86500000000012</v>
      </c>
    </row>
    <row r="135" spans="1:47" x14ac:dyDescent="0.35">
      <c r="A135" s="3"/>
      <c r="B135" s="3"/>
      <c r="C135" s="3"/>
      <c r="D135" s="3"/>
      <c r="E135" s="3"/>
      <c r="F135" s="3"/>
      <c r="G135" s="3"/>
      <c r="H135" s="3"/>
      <c r="I135" s="3"/>
      <c r="J135" s="3"/>
      <c r="K135" s="3"/>
      <c r="L135" s="3"/>
      <c r="M135" s="3"/>
      <c r="N135" s="3"/>
      <c r="O135" s="3"/>
      <c r="P135" s="3"/>
      <c r="Q135" s="3"/>
      <c r="R135" s="3"/>
      <c r="S135" s="3"/>
      <c r="T135" s="3"/>
      <c r="U135" s="3"/>
      <c r="V135" s="3"/>
      <c r="W135" s="3"/>
    </row>
    <row r="136" spans="1:47" x14ac:dyDescent="0.35">
      <c r="A136" s="3"/>
      <c r="B136" s="3"/>
      <c r="C136" s="3"/>
      <c r="D136" s="3"/>
      <c r="E136" s="3"/>
      <c r="F136" s="3"/>
      <c r="G136" s="3"/>
      <c r="H136" s="3"/>
      <c r="I136" s="3"/>
      <c r="J136" s="3"/>
      <c r="K136" s="3"/>
      <c r="L136" s="3"/>
      <c r="M136" s="3"/>
      <c r="N136" s="3"/>
      <c r="O136" s="3"/>
      <c r="P136" s="3"/>
      <c r="Q136" s="3"/>
      <c r="R136" s="3"/>
      <c r="S136" s="3"/>
      <c r="T136" s="3"/>
      <c r="U136" s="3"/>
      <c r="V136" s="3"/>
      <c r="W136" s="3"/>
    </row>
    <row r="137" spans="1:47" x14ac:dyDescent="0.35">
      <c r="A137" s="3"/>
      <c r="B137" s="3"/>
      <c r="C137" s="3"/>
      <c r="D137" s="3"/>
      <c r="E137" s="3"/>
      <c r="F137" s="3"/>
      <c r="G137" s="3"/>
      <c r="H137" s="3"/>
      <c r="I137" s="3"/>
      <c r="J137" s="3"/>
      <c r="K137" s="3"/>
      <c r="L137" s="3"/>
      <c r="M137" s="3"/>
      <c r="N137" s="3"/>
      <c r="O137" s="3"/>
      <c r="P137" s="3"/>
      <c r="Q137" s="3"/>
      <c r="R137" s="3"/>
      <c r="S137" s="3"/>
      <c r="T137" s="3"/>
      <c r="U137" s="3"/>
      <c r="V137" s="3"/>
      <c r="W137" s="3"/>
    </row>
    <row r="138" spans="1:47" x14ac:dyDescent="0.35">
      <c r="A138" s="3"/>
      <c r="B138" s="3"/>
      <c r="C138" s="3"/>
      <c r="D138" s="3"/>
      <c r="E138" s="3"/>
      <c r="F138" s="3"/>
      <c r="G138" s="3"/>
      <c r="H138" s="3"/>
      <c r="I138" s="3"/>
      <c r="J138" s="3"/>
      <c r="K138" s="3"/>
      <c r="L138" s="3"/>
      <c r="M138" s="3"/>
      <c r="N138" s="3"/>
      <c r="O138" s="3"/>
      <c r="P138" s="3"/>
      <c r="Q138" s="3"/>
      <c r="R138" s="3"/>
      <c r="S138" s="3"/>
      <c r="T138" s="3"/>
      <c r="U138" s="3"/>
      <c r="V138" s="3"/>
      <c r="W138" s="3"/>
    </row>
    <row r="139" spans="1:47" x14ac:dyDescent="0.35">
      <c r="A139" s="3"/>
      <c r="B139" s="3"/>
      <c r="C139" s="3"/>
      <c r="D139" s="3"/>
      <c r="E139" s="3"/>
      <c r="F139" s="3"/>
      <c r="G139" s="3"/>
      <c r="H139" s="3"/>
      <c r="I139" s="3"/>
      <c r="J139" s="3"/>
      <c r="K139" s="3"/>
      <c r="L139" s="3"/>
      <c r="M139" s="3"/>
      <c r="N139" s="3"/>
      <c r="O139" s="3"/>
      <c r="P139" s="3"/>
      <c r="Q139" s="3"/>
      <c r="R139" s="3"/>
      <c r="S139" s="3"/>
      <c r="T139" s="3"/>
      <c r="U139" s="3"/>
      <c r="V139" s="3"/>
      <c r="W139" s="3"/>
    </row>
    <row r="140" spans="1:47" x14ac:dyDescent="0.35">
      <c r="A140" s="3"/>
      <c r="B140" s="3"/>
      <c r="C140" s="3"/>
      <c r="D140" s="3"/>
      <c r="E140" s="3"/>
      <c r="F140" s="3"/>
      <c r="G140" s="3"/>
      <c r="H140" s="3"/>
      <c r="I140" s="3"/>
      <c r="J140" s="3"/>
      <c r="K140" s="3"/>
      <c r="L140" s="3"/>
      <c r="M140" s="3"/>
      <c r="N140" s="3"/>
      <c r="O140" s="3"/>
      <c r="P140" s="3"/>
      <c r="Q140" s="3"/>
      <c r="R140" s="3"/>
      <c r="S140" s="3"/>
      <c r="T140" s="3"/>
      <c r="U140" s="3"/>
      <c r="V140" s="3"/>
      <c r="W140" s="3"/>
    </row>
    <row r="141" spans="1:47" x14ac:dyDescent="0.35">
      <c r="A141" s="3"/>
      <c r="B141" s="3"/>
      <c r="C141" s="3"/>
      <c r="D141" s="3"/>
      <c r="E141" s="3"/>
      <c r="F141" s="3"/>
      <c r="G141" s="3"/>
      <c r="H141" s="3"/>
      <c r="I141" s="3"/>
      <c r="J141" s="3"/>
      <c r="K141" s="3"/>
      <c r="L141" s="3"/>
      <c r="M141" s="3"/>
      <c r="N141" s="3"/>
      <c r="O141" s="3"/>
      <c r="P141" s="3"/>
      <c r="Q141" s="3"/>
      <c r="R141" s="3"/>
      <c r="S141" s="3"/>
      <c r="T141" s="3"/>
      <c r="U141" s="3"/>
      <c r="V141" s="3"/>
      <c r="W141" s="3"/>
    </row>
    <row r="142" spans="1:47" x14ac:dyDescent="0.35">
      <c r="A142" s="3"/>
      <c r="B142" s="3"/>
      <c r="C142" s="3"/>
      <c r="D142" s="3"/>
      <c r="E142" s="3"/>
      <c r="F142" s="3"/>
      <c r="G142" s="3"/>
      <c r="H142" s="3"/>
      <c r="I142" s="3"/>
      <c r="J142" s="3"/>
      <c r="K142" s="3"/>
      <c r="L142" s="3"/>
      <c r="M142" s="3"/>
      <c r="N142" s="3"/>
      <c r="O142" s="3"/>
      <c r="P142" s="3"/>
      <c r="Q142" s="3"/>
      <c r="R142" s="3"/>
      <c r="S142" s="3"/>
      <c r="T142" s="3"/>
      <c r="U142" s="3"/>
      <c r="V142" s="3"/>
      <c r="W142" s="3"/>
    </row>
    <row r="143" spans="1:47" x14ac:dyDescent="0.35">
      <c r="A143" s="1" t="s">
        <v>134</v>
      </c>
      <c r="B143" s="1"/>
      <c r="C143" s="1"/>
      <c r="D143" s="1"/>
      <c r="E143" s="1"/>
      <c r="F143" s="1"/>
      <c r="G143" s="1"/>
      <c r="H143" s="1"/>
      <c r="I143" s="1"/>
      <c r="J143" s="1"/>
      <c r="K143" s="1"/>
      <c r="L143" s="1"/>
      <c r="M143" s="1"/>
      <c r="N143" s="1"/>
      <c r="O143" s="1"/>
      <c r="P143" s="1"/>
      <c r="Q143" s="1"/>
      <c r="R143" s="1"/>
      <c r="S143" s="1"/>
      <c r="T143" s="1"/>
      <c r="U143" s="3"/>
      <c r="V143" s="3"/>
      <c r="W143" s="3"/>
    </row>
    <row r="144" spans="1:47" x14ac:dyDescent="0.35">
      <c r="A144" s="1" t="s">
        <v>26</v>
      </c>
      <c r="B144" s="1" t="s">
        <v>135</v>
      </c>
      <c r="C144" s="1"/>
      <c r="D144" s="1"/>
      <c r="E144" s="1"/>
      <c r="F144" s="1"/>
      <c r="G144" s="1"/>
      <c r="H144" s="1"/>
      <c r="I144" s="1"/>
      <c r="J144" s="1" t="s">
        <v>27</v>
      </c>
      <c r="K144" s="1" t="s">
        <v>136</v>
      </c>
      <c r="L144" s="1"/>
      <c r="M144" s="1"/>
      <c r="N144" s="1"/>
      <c r="O144" s="1"/>
      <c r="P144" s="1"/>
      <c r="Q144" s="1"/>
      <c r="R144" s="1"/>
      <c r="S144" s="1"/>
      <c r="T144" s="1"/>
      <c r="U144" s="3"/>
      <c r="V144" s="3"/>
      <c r="W144" s="3"/>
    </row>
    <row r="145" spans="1:47" x14ac:dyDescent="0.35">
      <c r="A145" s="3"/>
      <c r="B145" s="3"/>
      <c r="C145" s="3"/>
      <c r="D145" s="3"/>
      <c r="E145" s="3"/>
      <c r="F145" s="3"/>
      <c r="G145" s="3"/>
      <c r="H145" s="3"/>
      <c r="I145" s="3"/>
      <c r="J145" s="3"/>
      <c r="K145" s="3"/>
      <c r="L145" s="3"/>
      <c r="M145" s="3"/>
      <c r="N145" s="3"/>
      <c r="O145" s="3"/>
      <c r="P145" s="3"/>
      <c r="Q145" s="3"/>
      <c r="R145" s="3"/>
      <c r="S145" s="3"/>
      <c r="T145" s="3"/>
      <c r="U145" s="3"/>
      <c r="V145" s="3"/>
      <c r="W145" s="3"/>
    </row>
    <row r="146" spans="1:47" x14ac:dyDescent="0.35">
      <c r="A146" s="3"/>
      <c r="B146" s="3"/>
      <c r="C146" s="3"/>
      <c r="D146" s="3"/>
      <c r="E146" s="3"/>
      <c r="F146" s="3"/>
      <c r="G146" s="3"/>
      <c r="H146" s="3"/>
      <c r="I146" s="3"/>
      <c r="J146" s="3"/>
      <c r="K146" s="3"/>
      <c r="L146" s="3"/>
      <c r="M146" s="3"/>
      <c r="N146" s="3"/>
      <c r="O146" s="3"/>
      <c r="P146" s="3"/>
      <c r="Q146" s="3"/>
      <c r="R146" s="3"/>
      <c r="S146" s="3"/>
      <c r="T146" s="3"/>
      <c r="U146" s="3"/>
      <c r="V146" s="3"/>
      <c r="W146" s="3"/>
    </row>
    <row r="147" spans="1:47" x14ac:dyDescent="0.35">
      <c r="A147" s="3"/>
      <c r="B147" s="3"/>
      <c r="C147" s="3"/>
      <c r="D147" s="3"/>
      <c r="E147" s="3"/>
      <c r="F147" s="3"/>
      <c r="G147" s="3"/>
      <c r="H147" s="3"/>
      <c r="I147" s="3"/>
      <c r="J147" s="3"/>
      <c r="K147" s="3"/>
      <c r="L147" s="3"/>
      <c r="M147" s="3"/>
      <c r="N147" s="3"/>
      <c r="O147" s="3"/>
      <c r="P147" s="3"/>
      <c r="Q147" s="3"/>
      <c r="R147" s="3"/>
      <c r="S147" s="3"/>
      <c r="T147" s="3"/>
      <c r="U147" s="3"/>
      <c r="V147" s="3"/>
      <c r="W147" s="3"/>
      <c r="AB147" s="19">
        <f t="shared" ref="AB147:AR147" si="103">AC147-1</f>
        <v>29</v>
      </c>
      <c r="AC147" s="19">
        <f t="shared" si="103"/>
        <v>30</v>
      </c>
      <c r="AD147" s="19">
        <f t="shared" si="103"/>
        <v>31</v>
      </c>
      <c r="AE147" s="19">
        <f t="shared" si="103"/>
        <v>32</v>
      </c>
      <c r="AF147" s="19">
        <f t="shared" si="103"/>
        <v>33</v>
      </c>
      <c r="AG147" s="19">
        <f t="shared" si="103"/>
        <v>34</v>
      </c>
      <c r="AH147" s="19">
        <f t="shared" si="103"/>
        <v>35</v>
      </c>
      <c r="AI147" s="19">
        <f t="shared" si="103"/>
        <v>36</v>
      </c>
      <c r="AJ147" s="19">
        <f t="shared" si="103"/>
        <v>37</v>
      </c>
      <c r="AK147" s="19">
        <f t="shared" si="103"/>
        <v>38</v>
      </c>
      <c r="AL147" s="19">
        <f t="shared" si="103"/>
        <v>39</v>
      </c>
      <c r="AM147" s="19">
        <f t="shared" si="103"/>
        <v>40</v>
      </c>
      <c r="AN147" s="19">
        <f t="shared" si="103"/>
        <v>41</v>
      </c>
      <c r="AO147" s="19">
        <f t="shared" si="103"/>
        <v>42</v>
      </c>
      <c r="AP147" s="19">
        <f t="shared" si="103"/>
        <v>43</v>
      </c>
      <c r="AQ147" s="19">
        <f t="shared" si="103"/>
        <v>44</v>
      </c>
      <c r="AR147" s="19">
        <f t="shared" si="103"/>
        <v>45</v>
      </c>
      <c r="AS147" s="19">
        <f t="shared" ref="AS147" si="104">AT147-1</f>
        <v>46</v>
      </c>
      <c r="AT147" s="19">
        <f>AU147-1</f>
        <v>47</v>
      </c>
      <c r="AU147" s="19">
        <f>VLOOKUP(AU148,Dates!$A:$D,2,FALSE)</f>
        <v>48</v>
      </c>
    </row>
    <row r="148" spans="1:47" x14ac:dyDescent="0.35">
      <c r="A148" s="3"/>
      <c r="B148" s="3"/>
      <c r="C148" s="3"/>
      <c r="D148" s="3"/>
      <c r="E148" s="3"/>
      <c r="F148" s="3"/>
      <c r="G148" s="3"/>
      <c r="H148" s="3"/>
      <c r="I148" s="3"/>
      <c r="J148" s="3"/>
      <c r="K148" s="3"/>
      <c r="L148" s="3"/>
      <c r="M148" s="3"/>
      <c r="N148" s="3"/>
      <c r="O148" s="3"/>
      <c r="P148" s="3"/>
      <c r="Q148" s="3"/>
      <c r="R148" s="3"/>
      <c r="S148" s="3"/>
      <c r="T148" s="3"/>
      <c r="U148" s="3"/>
      <c r="V148" s="3"/>
      <c r="W148" s="3"/>
      <c r="AB148" s="19" t="str">
        <f>IFERROR(VLOOKUP(AB147,Dates!$B:$D,3,FALSE),"")</f>
        <v>1Q19</v>
      </c>
      <c r="AC148" s="19" t="str">
        <f>IFERROR(VLOOKUP(AC147,Dates!$B:$D,3,FALSE),"")</f>
        <v>2Q19</v>
      </c>
      <c r="AD148" s="19" t="str">
        <f>IFERROR(VLOOKUP(AD147,Dates!$B:$D,3,FALSE),"")</f>
        <v>3Q19</v>
      </c>
      <c r="AE148" s="19" t="str">
        <f>IFERROR(VLOOKUP(AE147,Dates!$B:$D,3,FALSE),"")</f>
        <v>4Q19</v>
      </c>
      <c r="AF148" s="19" t="str">
        <f>IFERROR(VLOOKUP(AF147,Dates!$B:$D,3,FALSE),"")</f>
        <v>1Q20</v>
      </c>
      <c r="AG148" s="19" t="str">
        <f>IFERROR(VLOOKUP(AG147,Dates!$B:$D,3,FALSE),"")</f>
        <v>2Q20</v>
      </c>
      <c r="AH148" s="19" t="str">
        <f>IFERROR(VLOOKUP(AH147,Dates!$B:$D,3,FALSE),"")</f>
        <v>3Q20</v>
      </c>
      <c r="AI148" s="19" t="str">
        <f>IFERROR(VLOOKUP(AI147,Dates!$B:$D,3,FALSE),"")</f>
        <v>4Q20</v>
      </c>
      <c r="AJ148" s="19" t="str">
        <f>IFERROR(VLOOKUP(AJ147,Dates!$B:$D,3,FALSE),"")</f>
        <v>1Q21</v>
      </c>
      <c r="AK148" s="19" t="str">
        <f>IFERROR(VLOOKUP(AK147,Dates!$B:$D,3,FALSE),"")</f>
        <v>2Q21</v>
      </c>
      <c r="AL148" s="19" t="str">
        <f>IFERROR(VLOOKUP(AL147,Dates!$B:$D,3,FALSE),"")</f>
        <v>3Q21</v>
      </c>
      <c r="AM148" s="19" t="str">
        <f>IFERROR(VLOOKUP(AM147,Dates!$B:$D,3,FALSE),"")</f>
        <v>4Q21</v>
      </c>
      <c r="AN148" s="19" t="str">
        <f>IFERROR(VLOOKUP(AN147,Dates!$B:$D,3,FALSE),"")</f>
        <v>1Q22</v>
      </c>
      <c r="AO148" s="19" t="str">
        <f>IFERROR(VLOOKUP(AO147,Dates!$B:$D,3,FALSE),"")</f>
        <v>2Q22</v>
      </c>
      <c r="AP148" s="19" t="str">
        <f>IFERROR(VLOOKUP(AP147,Dates!$B:$D,3,FALSE),"")</f>
        <v>3Q22</v>
      </c>
      <c r="AQ148" s="19" t="str">
        <f>IFERROR(VLOOKUP(AQ147,Dates!$B:$D,3,FALSE),"")</f>
        <v>4Q22</v>
      </c>
      <c r="AR148" s="19" t="str">
        <f>IFERROR(VLOOKUP(AR147,Dates!$B:$D,3,FALSE),"")</f>
        <v>1Q23</v>
      </c>
      <c r="AS148" s="19" t="str">
        <f>IFERROR(VLOOKUP(AS147,Dates!$B:$D,3,FALSE),"")</f>
        <v>2Q23</v>
      </c>
      <c r="AT148" s="19" t="str">
        <f>IFERROR(VLOOKUP(AT147,Dates!$B:$D,3,FALSE),"")</f>
        <v>3Q23</v>
      </c>
      <c r="AU148" s="20" t="str">
        <f>$G$3</f>
        <v>4Q23</v>
      </c>
    </row>
    <row r="149" spans="1:47" x14ac:dyDescent="0.35">
      <c r="A149" s="3"/>
      <c r="B149" s="3"/>
      <c r="C149" s="3"/>
      <c r="D149" s="3"/>
      <c r="E149" s="3"/>
      <c r="F149" s="3"/>
      <c r="G149" s="3"/>
      <c r="H149" s="3"/>
      <c r="I149" s="3"/>
      <c r="J149" s="3"/>
      <c r="K149" s="3"/>
      <c r="L149" s="3"/>
      <c r="M149" s="3"/>
      <c r="N149" s="3"/>
      <c r="O149" s="3"/>
      <c r="P149" s="3"/>
      <c r="Q149" s="3"/>
      <c r="R149" s="3"/>
      <c r="S149" s="3"/>
      <c r="T149" s="3"/>
      <c r="U149" s="3"/>
      <c r="V149" s="3"/>
      <c r="W149" s="3"/>
      <c r="AA149" s="21" t="str">
        <f>'Domestic Mobile Operations'!A18</f>
        <v>Subscriber Base (EoP) ('000)</v>
      </c>
      <c r="AB149" s="22">
        <f>IFERROR(INDEX('Domestic Mobile Operations'!$A:$AAU,MATCH($AA149,'Domestic Mobile Operations'!$A:$A,0),MATCH(AB148,'Domestic Mobile Operations'!$1:$1,0)),"")</f>
        <v>55100</v>
      </c>
      <c r="AC149" s="22">
        <f>IFERROR(INDEX('Domestic Mobile Operations'!$A:$AAU,MATCH($AA149,'Domestic Mobile Operations'!$A:$A,0),MATCH(AC148,'Domestic Mobile Operations'!$1:$1,0)),"")</f>
        <v>56600</v>
      </c>
      <c r="AD149" s="22">
        <f>IFERROR(INDEX('Domestic Mobile Operations'!$A:$AAU,MATCH($AA149,'Domestic Mobile Operations'!$A:$A,0),MATCH(AD148,'Domestic Mobile Operations'!$1:$1,0)),"")</f>
        <v>55500</v>
      </c>
      <c r="AE149" s="22">
        <f>IFERROR(INDEX('Domestic Mobile Operations'!$A:$AAU,MATCH($AA149,'Domestic Mobile Operations'!$A:$A,0),MATCH(AE148,'Domestic Mobile Operations'!$1:$1,0)),"")</f>
        <v>56700</v>
      </c>
      <c r="AF149" s="22">
        <f>IFERROR(INDEX('Domestic Mobile Operations'!$A:$AAU,MATCH($AA149,'Domestic Mobile Operations'!$A:$A,0),MATCH(AF148,'Domestic Mobile Operations'!$1:$1,0)),"")</f>
        <v>55490</v>
      </c>
      <c r="AG149" s="22">
        <f>IFERROR(INDEX('Domestic Mobile Operations'!$A:$AAU,MATCH($AA149,'Domestic Mobile Operations'!$A:$A,0),MATCH(AG148,'Domestic Mobile Operations'!$1:$1,0)),"")</f>
        <v>55670</v>
      </c>
      <c r="AH149" s="22">
        <f>IFERROR(INDEX('Domestic Mobile Operations'!$A:$AAU,MATCH($AA149,'Domestic Mobile Operations'!$A:$A,0),MATCH(AH148,'Domestic Mobile Operations'!$1:$1,0)),"")</f>
        <v>56880</v>
      </c>
      <c r="AI149" s="22">
        <f>IFERROR(INDEX('Domestic Mobile Operations'!$A:$AAU,MATCH($AA149,'Domestic Mobile Operations'!$A:$A,0),MATCH(AI148,'Domestic Mobile Operations'!$1:$1,0)),"")</f>
        <v>57890</v>
      </c>
      <c r="AJ149" s="22">
        <f>IFERROR(INDEX('Domestic Mobile Operations'!$A:$AAU,MATCH($AA149,'Domestic Mobile Operations'!$A:$A,0),MATCH(AJ148,'Domestic Mobile Operations'!$1:$1,0)),"")</f>
        <v>56010</v>
      </c>
      <c r="AK149" s="22">
        <f>IFERROR(INDEX('Domestic Mobile Operations'!$A:$AAU,MATCH($AA149,'Domestic Mobile Operations'!$A:$A,0),MATCH(AK148,'Domestic Mobile Operations'!$1:$1,0)),"")</f>
        <v>56770</v>
      </c>
      <c r="AL149" s="22">
        <f>IFERROR(INDEX('Domestic Mobile Operations'!$A:$AAU,MATCH($AA149,'Domestic Mobile Operations'!$A:$A,0),MATCH(AL148,'Domestic Mobile Operations'!$1:$1,0)),"")</f>
        <v>57980</v>
      </c>
      <c r="AM149" s="22">
        <f>IFERROR(INDEX('Domestic Mobile Operations'!$A:$AAU,MATCH($AA149,'Domestic Mobile Operations'!$A:$A,0),MATCH(AM148,'Domestic Mobile Operations'!$1:$1,0)),"")</f>
        <v>57910</v>
      </c>
      <c r="AN149" s="22">
        <f>IFERROR(INDEX('Domestic Mobile Operations'!$A:$AAU,MATCH($AA149,'Domestic Mobile Operations'!$A:$A,0),MATCH(AN148,'Domestic Mobile Operations'!$1:$1,0)),"")</f>
        <v>57000</v>
      </c>
      <c r="AO149" s="22">
        <f>IFERROR(INDEX('Domestic Mobile Operations'!$A:$AAU,MATCH($AA149,'Domestic Mobile Operations'!$A:$A,0),MATCH(AO148,'Domestic Mobile Operations'!$1:$1,0)),"")</f>
        <v>57230</v>
      </c>
      <c r="AP149" s="22">
        <f>IFERROR(INDEX('Domestic Mobile Operations'!$A:$AAU,MATCH($AA149,'Domestic Mobile Operations'!$A:$A,0),MATCH(AP148,'Domestic Mobile Operations'!$1:$1,0)),"")</f>
        <v>57400</v>
      </c>
      <c r="AQ149" s="22">
        <f>IFERROR(INDEX('Domestic Mobile Operations'!$A:$AAU,MATCH($AA149,'Domestic Mobile Operations'!$A:$A,0),MATCH(AQ148,'Domestic Mobile Operations'!$1:$1,0)),"")</f>
        <v>57500</v>
      </c>
      <c r="AR149" s="22">
        <f>IFERROR(INDEX('Domestic Mobile Operations'!$A:$AAU,MATCH($AA149,'Domestic Mobile Operations'!$A:$A,0),MATCH(AR148,'Domestic Mobile Operations'!$1:$1,0)),"")</f>
        <v>57900</v>
      </c>
      <c r="AS149" s="22">
        <f>IFERROR(INDEX('Domestic Mobile Operations'!$A:$AAU,MATCH($AA149,'Domestic Mobile Operations'!$A:$A,0),MATCH(AS148,'Domestic Mobile Operations'!$1:$1,0)),"")</f>
        <v>58000</v>
      </c>
      <c r="AT149" s="22">
        <f>IFERROR(INDEX('Domestic Mobile Operations'!$A:$AAU,MATCH($AA149,'Domestic Mobile Operations'!$A:$A,0),MATCH(AT148,'Domestic Mobile Operations'!$1:$1,0)),"")</f>
        <v>57500</v>
      </c>
      <c r="AU149" s="22">
        <f>IFERROR(INDEX('Domestic Mobile Operations'!$A:$AAU,MATCH($AA149,'Domestic Mobile Operations'!$A:$A,0),MATCH(AU148,'Domestic Mobile Operations'!$1:$1,0)),"")</f>
        <v>57500</v>
      </c>
    </row>
    <row r="150" spans="1:47" x14ac:dyDescent="0.35">
      <c r="A150" s="3"/>
      <c r="B150" s="3"/>
      <c r="C150" s="3"/>
      <c r="D150" s="3"/>
      <c r="E150" s="3"/>
      <c r="F150" s="3"/>
      <c r="G150" s="3"/>
      <c r="H150" s="3"/>
      <c r="I150" s="3"/>
      <c r="J150" s="3"/>
      <c r="K150" s="3"/>
      <c r="L150" s="3"/>
      <c r="M150" s="3"/>
      <c r="N150" s="3"/>
      <c r="O150" s="3"/>
      <c r="P150" s="3"/>
      <c r="Q150" s="3"/>
      <c r="R150" s="3"/>
      <c r="S150" s="3"/>
      <c r="T150" s="3"/>
      <c r="U150" s="3"/>
      <c r="V150" s="3"/>
      <c r="W150" s="3"/>
    </row>
    <row r="151" spans="1:47" x14ac:dyDescent="0.35">
      <c r="A151" s="3"/>
      <c r="B151" s="3"/>
      <c r="C151" s="3"/>
      <c r="D151" s="3"/>
      <c r="E151" s="3"/>
      <c r="F151" s="3"/>
      <c r="G151" s="3"/>
      <c r="H151" s="3"/>
      <c r="I151" s="3"/>
      <c r="J151" s="3"/>
      <c r="K151" s="3"/>
      <c r="L151" s="3"/>
      <c r="M151" s="3"/>
      <c r="N151" s="3"/>
      <c r="O151" s="3"/>
      <c r="P151" s="3"/>
      <c r="Q151" s="3"/>
      <c r="R151" s="3"/>
      <c r="S151" s="3"/>
      <c r="T151" s="3"/>
      <c r="U151" s="3"/>
      <c r="V151" s="3"/>
      <c r="W151" s="3"/>
    </row>
    <row r="152" spans="1:47" x14ac:dyDescent="0.35">
      <c r="A152" s="3"/>
      <c r="B152" s="3"/>
      <c r="C152" s="3"/>
      <c r="D152" s="3"/>
      <c r="E152" s="3"/>
      <c r="F152" s="3"/>
      <c r="G152" s="3"/>
      <c r="H152" s="3"/>
      <c r="I152" s="3"/>
      <c r="J152" s="3"/>
      <c r="K152" s="3"/>
      <c r="L152" s="3"/>
      <c r="M152" s="3"/>
      <c r="N152" s="3"/>
      <c r="O152" s="3"/>
      <c r="P152" s="3"/>
      <c r="Q152" s="3"/>
      <c r="R152" s="3"/>
      <c r="S152" s="3"/>
      <c r="T152" s="3"/>
      <c r="U152" s="3"/>
      <c r="V152" s="3"/>
      <c r="W152" s="3"/>
    </row>
    <row r="153" spans="1:47" x14ac:dyDescent="0.35">
      <c r="A153" s="3"/>
      <c r="B153" s="3"/>
      <c r="C153" s="3"/>
      <c r="D153" s="3"/>
      <c r="E153" s="3"/>
      <c r="F153" s="3"/>
      <c r="G153" s="3"/>
      <c r="H153" s="3"/>
      <c r="I153" s="3"/>
      <c r="J153" s="3"/>
      <c r="K153" s="3"/>
      <c r="L153" s="3"/>
      <c r="M153" s="3"/>
      <c r="N153" s="3"/>
      <c r="O153" s="3"/>
      <c r="P153" s="3"/>
      <c r="Q153" s="3"/>
      <c r="R153" s="3"/>
      <c r="S153" s="3"/>
      <c r="T153" s="3"/>
      <c r="U153" s="3"/>
      <c r="V153" s="3"/>
      <c r="W153" s="3"/>
      <c r="AB153" s="19">
        <f t="shared" ref="AB153:AR153" si="105">AC153-1</f>
        <v>29</v>
      </c>
      <c r="AC153" s="19">
        <f t="shared" si="105"/>
        <v>30</v>
      </c>
      <c r="AD153" s="19">
        <f t="shared" si="105"/>
        <v>31</v>
      </c>
      <c r="AE153" s="19">
        <f t="shared" si="105"/>
        <v>32</v>
      </c>
      <c r="AF153" s="19">
        <f t="shared" si="105"/>
        <v>33</v>
      </c>
      <c r="AG153" s="19">
        <f t="shared" si="105"/>
        <v>34</v>
      </c>
      <c r="AH153" s="19">
        <f t="shared" si="105"/>
        <v>35</v>
      </c>
      <c r="AI153" s="19">
        <f t="shared" si="105"/>
        <v>36</v>
      </c>
      <c r="AJ153" s="19">
        <f t="shared" si="105"/>
        <v>37</v>
      </c>
      <c r="AK153" s="19">
        <f t="shared" si="105"/>
        <v>38</v>
      </c>
      <c r="AL153" s="19">
        <f t="shared" si="105"/>
        <v>39</v>
      </c>
      <c r="AM153" s="19">
        <f t="shared" si="105"/>
        <v>40</v>
      </c>
      <c r="AN153" s="19">
        <f t="shared" si="105"/>
        <v>41</v>
      </c>
      <c r="AO153" s="19">
        <f t="shared" si="105"/>
        <v>42</v>
      </c>
      <c r="AP153" s="19">
        <f t="shared" si="105"/>
        <v>43</v>
      </c>
      <c r="AQ153" s="19">
        <f t="shared" si="105"/>
        <v>44</v>
      </c>
      <c r="AR153" s="19">
        <f t="shared" si="105"/>
        <v>45</v>
      </c>
      <c r="AS153" s="19">
        <f t="shared" ref="AS153" si="106">AT153-1</f>
        <v>46</v>
      </c>
      <c r="AT153" s="19">
        <f>AU153-1</f>
        <v>47</v>
      </c>
      <c r="AU153" s="19">
        <f>VLOOKUP(AU154,Dates!$A:$D,2,FALSE)</f>
        <v>48</v>
      </c>
    </row>
    <row r="154" spans="1:47" x14ac:dyDescent="0.35">
      <c r="A154" s="3"/>
      <c r="B154" s="3"/>
      <c r="C154" s="3"/>
      <c r="D154" s="3"/>
      <c r="E154" s="3"/>
      <c r="F154" s="3"/>
      <c r="G154" s="3"/>
      <c r="H154" s="3"/>
      <c r="I154" s="3"/>
      <c r="J154" s="3"/>
      <c r="K154" s="3"/>
      <c r="L154" s="3"/>
      <c r="M154" s="3"/>
      <c r="N154" s="3"/>
      <c r="O154" s="3"/>
      <c r="P154" s="3"/>
      <c r="Q154" s="3"/>
      <c r="R154" s="3"/>
      <c r="S154" s="3"/>
      <c r="T154" s="3"/>
      <c r="U154" s="3"/>
      <c r="V154" s="3"/>
      <c r="W154" s="3"/>
      <c r="AB154" s="19" t="str">
        <f>IFERROR(VLOOKUP(AB153,Dates!$B:$D,3,FALSE),"")</f>
        <v>1Q19</v>
      </c>
      <c r="AC154" s="19" t="str">
        <f>IFERROR(VLOOKUP(AC153,Dates!$B:$D,3,FALSE),"")</f>
        <v>2Q19</v>
      </c>
      <c r="AD154" s="19" t="str">
        <f>IFERROR(VLOOKUP(AD153,Dates!$B:$D,3,FALSE),"")</f>
        <v>3Q19</v>
      </c>
      <c r="AE154" s="19" t="str">
        <f>IFERROR(VLOOKUP(AE153,Dates!$B:$D,3,FALSE),"")</f>
        <v>4Q19</v>
      </c>
      <c r="AF154" s="19" t="str">
        <f>IFERROR(VLOOKUP(AF153,Dates!$B:$D,3,FALSE),"")</f>
        <v>1Q20</v>
      </c>
      <c r="AG154" s="19" t="str">
        <f>IFERROR(VLOOKUP(AG153,Dates!$B:$D,3,FALSE),"")</f>
        <v>2Q20</v>
      </c>
      <c r="AH154" s="19" t="str">
        <f>IFERROR(VLOOKUP(AH153,Dates!$B:$D,3,FALSE),"")</f>
        <v>3Q20</v>
      </c>
      <c r="AI154" s="19" t="str">
        <f>IFERROR(VLOOKUP(AI153,Dates!$B:$D,3,FALSE),"")</f>
        <v>4Q20</v>
      </c>
      <c r="AJ154" s="19" t="str">
        <f>IFERROR(VLOOKUP(AJ153,Dates!$B:$D,3,FALSE),"")</f>
        <v>1Q21</v>
      </c>
      <c r="AK154" s="19" t="str">
        <f>IFERROR(VLOOKUP(AK153,Dates!$B:$D,3,FALSE),"")</f>
        <v>2Q21</v>
      </c>
      <c r="AL154" s="19" t="str">
        <f>IFERROR(VLOOKUP(AL153,Dates!$B:$D,3,FALSE),"")</f>
        <v>3Q21</v>
      </c>
      <c r="AM154" s="19" t="str">
        <f>IFERROR(VLOOKUP(AM153,Dates!$B:$D,3,FALSE),"")</f>
        <v>4Q21</v>
      </c>
      <c r="AN154" s="19" t="str">
        <f>IFERROR(VLOOKUP(AN153,Dates!$B:$D,3,FALSE),"")</f>
        <v>1Q22</v>
      </c>
      <c r="AO154" s="19" t="str">
        <f>IFERROR(VLOOKUP(AO153,Dates!$B:$D,3,FALSE),"")</f>
        <v>2Q22</v>
      </c>
      <c r="AP154" s="19" t="str">
        <f>IFERROR(VLOOKUP(AP153,Dates!$B:$D,3,FALSE),"")</f>
        <v>3Q22</v>
      </c>
      <c r="AQ154" s="19" t="str">
        <f>IFERROR(VLOOKUP(AQ153,Dates!$B:$D,3,FALSE),"")</f>
        <v>4Q22</v>
      </c>
      <c r="AR154" s="19" t="str">
        <f>IFERROR(VLOOKUP(AR153,Dates!$B:$D,3,FALSE),"")</f>
        <v>1Q23</v>
      </c>
      <c r="AS154" s="19" t="str">
        <f>IFERROR(VLOOKUP(AS153,Dates!$B:$D,3,FALSE),"")</f>
        <v>2Q23</v>
      </c>
      <c r="AT154" s="19" t="str">
        <f>IFERROR(VLOOKUP(AT153,Dates!$B:$D,3,FALSE),"")</f>
        <v>3Q23</v>
      </c>
      <c r="AU154" s="20" t="str">
        <f>$G$3</f>
        <v>4Q23</v>
      </c>
    </row>
    <row r="155" spans="1:47" x14ac:dyDescent="0.35">
      <c r="A155" s="3"/>
      <c r="B155" s="3"/>
      <c r="C155" s="3"/>
      <c r="D155" s="3"/>
      <c r="E155" s="3"/>
      <c r="F155" s="3"/>
      <c r="G155" s="3"/>
      <c r="H155" s="3"/>
      <c r="I155" s="3"/>
      <c r="J155" s="3"/>
      <c r="K155" s="3"/>
      <c r="L155" s="3"/>
      <c r="M155" s="3"/>
      <c r="N155" s="3"/>
      <c r="O155" s="3"/>
      <c r="P155" s="3"/>
      <c r="Q155" s="3"/>
      <c r="R155" s="3"/>
      <c r="S155" s="3"/>
      <c r="T155" s="3"/>
      <c r="U155" s="3"/>
      <c r="V155" s="3"/>
      <c r="W155" s="3"/>
      <c r="AA155" s="21" t="str">
        <f>'Domestic Mobile Operations'!A32</f>
        <v>Net subscriber Additions ('000)</v>
      </c>
      <c r="AB155" s="22">
        <f>IFERROR(INDEX('Domestic Mobile Operations'!$A:$AAU,MATCH($AA155,'Domestic Mobile Operations'!$A:$A,0),MATCH(AB154,'Domestic Mobile Operations'!$1:$1,0)),"")</f>
        <v>200</v>
      </c>
      <c r="AC155" s="22">
        <f>IFERROR(INDEX('Domestic Mobile Operations'!$A:$AAU,MATCH($AA155,'Domestic Mobile Operations'!$A:$A,0),MATCH(AC154,'Domestic Mobile Operations'!$1:$1,0)),"")</f>
        <v>1500</v>
      </c>
      <c r="AD155" s="22">
        <f>IFERROR(INDEX('Domestic Mobile Operations'!$A:$AAU,MATCH($AA155,'Domestic Mobile Operations'!$A:$A,0),MATCH(AD154,'Domestic Mobile Operations'!$1:$1,0)),"")</f>
        <v>-1100</v>
      </c>
      <c r="AE155" s="22">
        <f>IFERROR(INDEX('Domestic Mobile Operations'!$A:$AAU,MATCH($AA155,'Domestic Mobile Operations'!$A:$A,0),MATCH(AE154,'Domestic Mobile Operations'!$1:$1,0)),"")</f>
        <v>1200</v>
      </c>
      <c r="AF155" s="22">
        <f>IFERROR(INDEX('Domestic Mobile Operations'!$A:$AAU,MATCH($AA155,'Domestic Mobile Operations'!$A:$A,0),MATCH(AF154,'Domestic Mobile Operations'!$1:$1,0)),"")</f>
        <v>-1210</v>
      </c>
      <c r="AG155" s="22">
        <f>IFERROR(INDEX('Domestic Mobile Operations'!$A:$AAU,MATCH($AA155,'Domestic Mobile Operations'!$A:$A,0),MATCH(AG154,'Domestic Mobile Operations'!$1:$1,0)),"")</f>
        <v>180</v>
      </c>
      <c r="AH155" s="22">
        <f>IFERROR(INDEX('Domestic Mobile Operations'!$A:$AAU,MATCH($AA155,'Domestic Mobile Operations'!$A:$A,0),MATCH(AH154,'Domestic Mobile Operations'!$1:$1,0)),"")</f>
        <v>1210</v>
      </c>
      <c r="AI155" s="22">
        <f>IFERROR(INDEX('Domestic Mobile Operations'!$A:$AAU,MATCH($AA155,'Domestic Mobile Operations'!$A:$A,0),MATCH(AI154,'Domestic Mobile Operations'!$1:$1,0)),"")</f>
        <v>1010</v>
      </c>
      <c r="AJ155" s="22">
        <f>IFERROR(INDEX('Domestic Mobile Operations'!$A:$AAU,MATCH($AA155,'Domestic Mobile Operations'!$A:$A,0),MATCH(AJ154,'Domestic Mobile Operations'!$1:$1,0)),"")</f>
        <v>-1880</v>
      </c>
      <c r="AK155" s="22">
        <f>IFERROR(INDEX('Domestic Mobile Operations'!$A:$AAU,MATCH($AA155,'Domestic Mobile Operations'!$A:$A,0),MATCH(AK154,'Domestic Mobile Operations'!$1:$1,0)),"")</f>
        <v>760</v>
      </c>
      <c r="AL155" s="22">
        <f>IFERROR(INDEX('Domestic Mobile Operations'!$A:$AAU,MATCH($AA155,'Domestic Mobile Operations'!$A:$A,0),MATCH(AL154,'Domestic Mobile Operations'!$1:$1,0)),"")</f>
        <v>1210</v>
      </c>
      <c r="AM155" s="22">
        <f>IFERROR(INDEX('Domestic Mobile Operations'!$A:$AAU,MATCH($AA155,'Domestic Mobile Operations'!$A:$A,0),MATCH(AM154,'Domestic Mobile Operations'!$1:$1,0)),"")</f>
        <v>-70</v>
      </c>
      <c r="AN155" s="22">
        <f>IFERROR(INDEX('Domestic Mobile Operations'!$A:$AAU,MATCH($AA155,'Domestic Mobile Operations'!$A:$A,0),MATCH(AN154,'Domestic Mobile Operations'!$1:$1,0)),"")</f>
        <v>-910</v>
      </c>
      <c r="AO155" s="22">
        <f>IFERROR(INDEX('Domestic Mobile Operations'!$A:$AAU,MATCH($AA155,'Domestic Mobile Operations'!$A:$A,0),MATCH(AO154,'Domestic Mobile Operations'!$1:$1,0)),"")</f>
        <v>230</v>
      </c>
      <c r="AP155" s="22">
        <f>IFERROR(INDEX('Domestic Mobile Operations'!$A:$AAU,MATCH($AA155,'Domestic Mobile Operations'!$A:$A,0),MATCH(AP154,'Domestic Mobile Operations'!$1:$1,0)),"")</f>
        <v>170</v>
      </c>
      <c r="AQ155" s="22">
        <f>IFERROR(INDEX('Domestic Mobile Operations'!$A:$AAU,MATCH($AA155,'Domestic Mobile Operations'!$A:$A,0),MATCH(AQ154,'Domestic Mobile Operations'!$1:$1,0)),"")</f>
        <v>100</v>
      </c>
      <c r="AR155" s="22">
        <f>IFERROR(INDEX('Domestic Mobile Operations'!$A:$AAU,MATCH($AA155,'Domestic Mobile Operations'!$A:$A,0),MATCH(AR154,'Domestic Mobile Operations'!$1:$1,0)),"")</f>
        <v>400</v>
      </c>
      <c r="AS155" s="22">
        <f>IFERROR(INDEX('Domestic Mobile Operations'!$A:$AAU,MATCH($AA155,'Domestic Mobile Operations'!$A:$A,0),MATCH(AS154,'Domestic Mobile Operations'!$1:$1,0)),"")</f>
        <v>100</v>
      </c>
      <c r="AT155" s="22">
        <f>IFERROR(INDEX('Domestic Mobile Operations'!$A:$AAU,MATCH($AA155,'Domestic Mobile Operations'!$A:$A,0),MATCH(AT154,'Domestic Mobile Operations'!$1:$1,0)),"")</f>
        <v>-500</v>
      </c>
      <c r="AU155" s="22">
        <f>IFERROR(INDEX('Domestic Mobile Operations'!$A:$AAU,MATCH($AA155,'Domestic Mobile Operations'!$A:$A,0),MATCH(AU154,'Domestic Mobile Operations'!$1:$1,0)),"")</f>
        <v>0</v>
      </c>
    </row>
    <row r="156" spans="1:47" x14ac:dyDescent="0.35">
      <c r="A156" s="3"/>
      <c r="B156" s="3"/>
      <c r="C156" s="3"/>
      <c r="D156" s="3"/>
      <c r="E156" s="3"/>
      <c r="F156" s="3"/>
      <c r="G156" s="3"/>
      <c r="H156" s="3"/>
      <c r="I156" s="3"/>
      <c r="J156" s="3"/>
      <c r="K156" s="3"/>
      <c r="L156" s="3"/>
      <c r="M156" s="3"/>
      <c r="N156" s="3"/>
      <c r="O156" s="3"/>
      <c r="P156" s="3"/>
      <c r="Q156" s="3"/>
      <c r="R156" s="3"/>
      <c r="S156" s="3"/>
      <c r="T156" s="3"/>
      <c r="U156" s="3"/>
      <c r="V156" s="3"/>
      <c r="W156" s="3"/>
    </row>
    <row r="157" spans="1:47" x14ac:dyDescent="0.35">
      <c r="A157" s="3"/>
      <c r="B157" s="3"/>
      <c r="C157" s="3"/>
      <c r="D157" s="3"/>
      <c r="E157" s="3"/>
      <c r="F157" s="3"/>
      <c r="G157" s="3"/>
      <c r="H157" s="3"/>
      <c r="I157" s="3"/>
      <c r="J157" s="3"/>
      <c r="K157" s="3"/>
      <c r="L157" s="3"/>
      <c r="M157" s="3"/>
      <c r="N157" s="3"/>
      <c r="O157" s="3"/>
      <c r="P157" s="3"/>
      <c r="Q157" s="3"/>
      <c r="R157" s="3"/>
      <c r="S157" s="3"/>
      <c r="T157" s="3"/>
      <c r="U157" s="3"/>
      <c r="V157" s="3"/>
      <c r="W157" s="3"/>
    </row>
    <row r="158" spans="1:47" x14ac:dyDescent="0.35">
      <c r="A158" s="3"/>
      <c r="B158" s="3"/>
      <c r="C158" s="3"/>
      <c r="D158" s="3"/>
      <c r="E158" s="3"/>
      <c r="F158" s="3"/>
      <c r="G158" s="3"/>
      <c r="H158" s="3"/>
      <c r="I158" s="3"/>
      <c r="J158" s="3"/>
      <c r="K158" s="3"/>
      <c r="L158" s="3"/>
      <c r="M158" s="3"/>
      <c r="N158" s="3"/>
      <c r="O158" s="3"/>
      <c r="P158" s="3"/>
      <c r="Q158" s="3"/>
      <c r="R158" s="3"/>
      <c r="S158" s="3"/>
      <c r="T158" s="3"/>
      <c r="U158" s="3"/>
      <c r="V158" s="3"/>
      <c r="W158" s="3"/>
    </row>
    <row r="159" spans="1:47" x14ac:dyDescent="0.35">
      <c r="A159" s="3"/>
      <c r="B159" s="3"/>
      <c r="C159" s="3"/>
      <c r="D159" s="3"/>
      <c r="E159" s="3"/>
      <c r="F159" s="3"/>
      <c r="G159" s="3"/>
      <c r="H159" s="3"/>
      <c r="I159" s="3"/>
      <c r="J159" s="3"/>
      <c r="K159" s="3"/>
      <c r="L159" s="3"/>
      <c r="M159" s="3"/>
      <c r="N159" s="3"/>
      <c r="O159" s="3"/>
      <c r="P159" s="3"/>
      <c r="Q159" s="3"/>
      <c r="R159" s="3"/>
      <c r="S159" s="3"/>
      <c r="T159" s="3"/>
      <c r="U159" s="3"/>
      <c r="V159" s="3"/>
      <c r="W159" s="3"/>
    </row>
    <row r="160" spans="1:47" x14ac:dyDescent="0.35">
      <c r="A160" s="3" t="s">
        <v>172</v>
      </c>
      <c r="B160" s="3" t="s">
        <v>185</v>
      </c>
      <c r="C160" s="3"/>
      <c r="D160" s="3"/>
      <c r="E160" s="3"/>
      <c r="F160" s="3"/>
      <c r="G160" s="3"/>
      <c r="H160" s="3"/>
      <c r="I160" s="3"/>
      <c r="J160" s="3"/>
      <c r="K160" s="3"/>
      <c r="L160" s="3"/>
      <c r="M160" s="3"/>
      <c r="N160" s="3"/>
      <c r="O160" s="3"/>
      <c r="P160" s="3"/>
      <c r="Q160" s="3"/>
      <c r="R160" s="3"/>
      <c r="S160" s="3"/>
      <c r="T160" s="3"/>
      <c r="U160" s="3"/>
      <c r="V160" s="3"/>
      <c r="W160" s="3"/>
    </row>
    <row r="161" spans="1:47" x14ac:dyDescent="0.35">
      <c r="A161" s="3"/>
      <c r="B161" s="3"/>
      <c r="C161" s="3"/>
      <c r="D161" s="3"/>
      <c r="E161" s="3"/>
      <c r="F161" s="3"/>
      <c r="G161" s="3"/>
      <c r="H161" s="3"/>
      <c r="I161" s="3"/>
      <c r="J161" s="3"/>
      <c r="K161" s="3"/>
      <c r="L161" s="3"/>
      <c r="M161" s="3"/>
      <c r="N161" s="3"/>
      <c r="O161" s="3"/>
      <c r="P161" s="3"/>
      <c r="Q161" s="3"/>
      <c r="R161" s="3"/>
      <c r="S161" s="3"/>
      <c r="T161" s="3"/>
      <c r="U161" s="3"/>
      <c r="V161" s="3"/>
      <c r="W161" s="3"/>
    </row>
    <row r="162" spans="1:47" x14ac:dyDescent="0.35">
      <c r="A162" s="1" t="s">
        <v>28</v>
      </c>
      <c r="B162" s="1" t="s">
        <v>156</v>
      </c>
      <c r="C162" s="1"/>
      <c r="D162" s="1"/>
      <c r="E162" s="1"/>
      <c r="F162" s="1"/>
      <c r="G162" s="1"/>
      <c r="H162" s="1"/>
      <c r="I162" s="1"/>
      <c r="J162" s="1" t="s">
        <v>29</v>
      </c>
      <c r="K162" s="1" t="s">
        <v>157</v>
      </c>
      <c r="L162" s="1"/>
      <c r="M162" s="1"/>
      <c r="N162" s="1"/>
      <c r="O162" s="1"/>
      <c r="P162" s="1"/>
      <c r="Q162" s="1"/>
      <c r="R162" s="1"/>
      <c r="S162" s="1"/>
      <c r="T162" s="1"/>
      <c r="U162" s="3"/>
      <c r="V162" s="3"/>
      <c r="W162" s="3"/>
    </row>
    <row r="163" spans="1:47" x14ac:dyDescent="0.35">
      <c r="A163" s="3"/>
      <c r="B163" s="3"/>
      <c r="C163" s="3"/>
      <c r="D163" s="3"/>
      <c r="E163" s="3"/>
      <c r="F163" s="3"/>
      <c r="G163" s="3"/>
      <c r="H163" s="3"/>
      <c r="I163" s="3"/>
      <c r="J163" s="3"/>
      <c r="K163" s="3"/>
      <c r="L163" s="3"/>
      <c r="M163" s="3"/>
      <c r="N163" s="3"/>
      <c r="O163" s="3"/>
      <c r="P163" s="3"/>
      <c r="Q163" s="3"/>
      <c r="R163" s="3"/>
      <c r="S163" s="3"/>
      <c r="T163" s="3"/>
      <c r="U163" s="3"/>
      <c r="V163" s="3"/>
      <c r="W163" s="3"/>
    </row>
    <row r="164" spans="1:47" x14ac:dyDescent="0.35">
      <c r="A164" s="3"/>
      <c r="B164" s="3"/>
      <c r="C164" s="3"/>
      <c r="D164" s="3"/>
      <c r="E164" s="3"/>
      <c r="F164" s="3"/>
      <c r="G164" s="3"/>
      <c r="H164" s="3"/>
      <c r="I164" s="3"/>
      <c r="J164" s="3"/>
      <c r="K164" s="3"/>
      <c r="L164" s="3"/>
      <c r="M164" s="3"/>
      <c r="N164" s="3"/>
      <c r="O164" s="3"/>
      <c r="P164" s="3"/>
      <c r="Q164" s="3"/>
      <c r="R164" s="3"/>
      <c r="S164" s="3"/>
      <c r="T164" s="3"/>
      <c r="U164" s="3"/>
      <c r="V164" s="3"/>
      <c r="W164" s="3"/>
    </row>
    <row r="165" spans="1:47" x14ac:dyDescent="0.35">
      <c r="A165" s="3"/>
      <c r="B165" s="3"/>
      <c r="C165" s="3"/>
      <c r="D165" s="3"/>
      <c r="E165" s="3"/>
      <c r="F165" s="3"/>
      <c r="G165" s="3"/>
      <c r="H165" s="3"/>
      <c r="I165" s="3"/>
      <c r="J165" s="3"/>
      <c r="K165" s="3"/>
      <c r="L165" s="3"/>
      <c r="M165" s="3"/>
      <c r="N165" s="3"/>
      <c r="O165" s="3"/>
      <c r="P165" s="3"/>
      <c r="Q165" s="3"/>
      <c r="R165" s="3"/>
      <c r="S165" s="3"/>
      <c r="T165" s="3"/>
      <c r="U165" s="3"/>
      <c r="V165" s="3"/>
      <c r="W165" s="3"/>
      <c r="AB165" s="19">
        <f t="shared" ref="AB165:AR165" si="107">AC165-1</f>
        <v>29</v>
      </c>
      <c r="AC165" s="19">
        <f t="shared" si="107"/>
        <v>30</v>
      </c>
      <c r="AD165" s="19">
        <f t="shared" si="107"/>
        <v>31</v>
      </c>
      <c r="AE165" s="19">
        <f t="shared" si="107"/>
        <v>32</v>
      </c>
      <c r="AF165" s="19">
        <f t="shared" si="107"/>
        <v>33</v>
      </c>
      <c r="AG165" s="19">
        <f t="shared" si="107"/>
        <v>34</v>
      </c>
      <c r="AH165" s="19">
        <f t="shared" si="107"/>
        <v>35</v>
      </c>
      <c r="AI165" s="19">
        <f t="shared" si="107"/>
        <v>36</v>
      </c>
      <c r="AJ165" s="19">
        <f t="shared" si="107"/>
        <v>37</v>
      </c>
      <c r="AK165" s="19">
        <f t="shared" si="107"/>
        <v>38</v>
      </c>
      <c r="AL165" s="19">
        <f t="shared" si="107"/>
        <v>39</v>
      </c>
      <c r="AM165" s="19">
        <f t="shared" si="107"/>
        <v>40</v>
      </c>
      <c r="AN165" s="19">
        <f t="shared" si="107"/>
        <v>41</v>
      </c>
      <c r="AO165" s="19">
        <f t="shared" si="107"/>
        <v>42</v>
      </c>
      <c r="AP165" s="19">
        <f t="shared" si="107"/>
        <v>43</v>
      </c>
      <c r="AQ165" s="19">
        <f t="shared" si="107"/>
        <v>44</v>
      </c>
      <c r="AR165" s="19">
        <f t="shared" si="107"/>
        <v>45</v>
      </c>
      <c r="AS165" s="19">
        <f t="shared" ref="AS165" si="108">AT165-1</f>
        <v>46</v>
      </c>
      <c r="AT165" s="19">
        <f>AU165-1</f>
        <v>47</v>
      </c>
      <c r="AU165" s="19">
        <f>VLOOKUP(AU166,Dates!$A:$D,2,FALSE)</f>
        <v>48</v>
      </c>
    </row>
    <row r="166" spans="1:47" x14ac:dyDescent="0.35">
      <c r="A166" s="3"/>
      <c r="B166" s="3"/>
      <c r="C166" s="3"/>
      <c r="D166" s="3"/>
      <c r="E166" s="3"/>
      <c r="F166" s="3"/>
      <c r="G166" s="3"/>
      <c r="H166" s="3"/>
      <c r="I166" s="3"/>
      <c r="J166" s="3"/>
      <c r="K166" s="3"/>
      <c r="L166" s="3"/>
      <c r="M166" s="3"/>
      <c r="N166" s="3"/>
      <c r="O166" s="3"/>
      <c r="P166" s="3"/>
      <c r="Q166" s="3"/>
      <c r="R166" s="3"/>
      <c r="S166" s="3"/>
      <c r="T166" s="3"/>
      <c r="U166" s="3"/>
      <c r="V166" s="3"/>
      <c r="W166" s="3"/>
      <c r="AB166" s="19" t="str">
        <f>IFERROR(VLOOKUP(AB165,Dates!$B:$D,3,FALSE),"")</f>
        <v>1Q19</v>
      </c>
      <c r="AC166" s="19" t="str">
        <f>IFERROR(VLOOKUP(AC165,Dates!$B:$D,3,FALSE),"")</f>
        <v>2Q19</v>
      </c>
      <c r="AD166" s="19" t="str">
        <f>IFERROR(VLOOKUP(AD165,Dates!$B:$D,3,FALSE),"")</f>
        <v>3Q19</v>
      </c>
      <c r="AE166" s="19" t="str">
        <f>IFERROR(VLOOKUP(AE165,Dates!$B:$D,3,FALSE),"")</f>
        <v>4Q19</v>
      </c>
      <c r="AF166" s="19" t="str">
        <f>IFERROR(VLOOKUP(AF165,Dates!$B:$D,3,FALSE),"")</f>
        <v>1Q20</v>
      </c>
      <c r="AG166" s="19" t="str">
        <f>IFERROR(VLOOKUP(AG165,Dates!$B:$D,3,FALSE),"")</f>
        <v>2Q20</v>
      </c>
      <c r="AH166" s="19" t="str">
        <f>IFERROR(VLOOKUP(AH165,Dates!$B:$D,3,FALSE),"")</f>
        <v>3Q20</v>
      </c>
      <c r="AI166" s="19" t="str">
        <f>IFERROR(VLOOKUP(AI165,Dates!$B:$D,3,FALSE),"")</f>
        <v>4Q20</v>
      </c>
      <c r="AJ166" s="19" t="str">
        <f>IFERROR(VLOOKUP(AJ165,Dates!$B:$D,3,FALSE),"")</f>
        <v>1Q21</v>
      </c>
      <c r="AK166" s="19" t="str">
        <f>IFERROR(VLOOKUP(AK165,Dates!$B:$D,3,FALSE),"")</f>
        <v>2Q21</v>
      </c>
      <c r="AL166" s="19" t="str">
        <f>IFERROR(VLOOKUP(AL165,Dates!$B:$D,3,FALSE),"")</f>
        <v>3Q21</v>
      </c>
      <c r="AM166" s="19" t="str">
        <f>IFERROR(VLOOKUP(AM165,Dates!$B:$D,3,FALSE),"")</f>
        <v>4Q21</v>
      </c>
      <c r="AN166" s="19" t="str">
        <f>IFERROR(VLOOKUP(AN165,Dates!$B:$D,3,FALSE),"")</f>
        <v>1Q22</v>
      </c>
      <c r="AO166" s="19" t="str">
        <f>IFERROR(VLOOKUP(AO165,Dates!$B:$D,3,FALSE),"")</f>
        <v>2Q22</v>
      </c>
      <c r="AP166" s="19" t="str">
        <f>IFERROR(VLOOKUP(AP165,Dates!$B:$D,3,FALSE),"")</f>
        <v>3Q22</v>
      </c>
      <c r="AQ166" s="19" t="str">
        <f>IFERROR(VLOOKUP(AQ165,Dates!$B:$D,3,FALSE),"")</f>
        <v>4Q22</v>
      </c>
      <c r="AR166" s="19" t="str">
        <f>IFERROR(VLOOKUP(AR165,Dates!$B:$D,3,FALSE),"")</f>
        <v>1Q23</v>
      </c>
      <c r="AS166" s="19" t="str">
        <f>IFERROR(VLOOKUP(AS165,Dates!$B:$D,3,FALSE),"")</f>
        <v>2Q23</v>
      </c>
      <c r="AT166" s="19" t="str">
        <f>IFERROR(VLOOKUP(AT165,Dates!$B:$D,3,FALSE),"")</f>
        <v>3Q23</v>
      </c>
      <c r="AU166" s="20" t="str">
        <f>$G$3</f>
        <v>4Q23</v>
      </c>
    </row>
    <row r="167" spans="1:47" x14ac:dyDescent="0.35">
      <c r="A167" s="3"/>
      <c r="B167" s="3"/>
      <c r="C167" s="3"/>
      <c r="D167" s="3"/>
      <c r="E167" s="3"/>
      <c r="F167" s="3"/>
      <c r="G167" s="3"/>
      <c r="H167" s="3"/>
      <c r="I167" s="3"/>
      <c r="J167" s="3"/>
      <c r="K167" s="3"/>
      <c r="L167" s="3"/>
      <c r="M167" s="3"/>
      <c r="N167" s="3"/>
      <c r="O167" s="3"/>
      <c r="P167" s="3"/>
      <c r="Q167" s="3"/>
      <c r="R167" s="3"/>
      <c r="S167" s="3"/>
      <c r="T167" s="3"/>
      <c r="U167" s="3"/>
      <c r="V167" s="3"/>
      <c r="W167" s="3"/>
      <c r="AA167" s="21" t="str">
        <f>'Domestic Mobile Operations'!A40</f>
        <v>Calculated ARPU</v>
      </c>
      <c r="AB167" s="22">
        <f>IFERROR(INDEX('Domestic Mobile Operations'!$A:$AAU,MATCH($AA167,'Domestic Mobile Operations'!$A:$A,0),MATCH(AB166,'Domestic Mobile Operations'!$1:$1,0)),"")</f>
        <v>32827.218181818178</v>
      </c>
      <c r="AC167" s="22">
        <f>IFERROR(INDEX('Domestic Mobile Operations'!$A:$AAU,MATCH($AA167,'Domestic Mobile Operations'!$A:$A,0),MATCH(AC166,'Domestic Mobile Operations'!$1:$1,0)),"")</f>
        <v>34032.855863921221</v>
      </c>
      <c r="AD167" s="22">
        <f>IFERROR(INDEX('Domestic Mobile Operations'!$A:$AAU,MATCH($AA167,'Domestic Mobile Operations'!$A:$A,0),MATCH(AD166,'Domestic Mobile Operations'!$1:$1,0)),"")</f>
        <v>35313.886410942614</v>
      </c>
      <c r="AE167" s="22">
        <f>IFERROR(INDEX('Domestic Mobile Operations'!$A:$AAU,MATCH($AA167,'Domestic Mobile Operations'!$A:$A,0),MATCH(AE166,'Domestic Mobile Operations'!$1:$1,0)),"")</f>
        <v>35020.386215092105</v>
      </c>
      <c r="AF167" s="22">
        <f>IFERROR(INDEX('Domestic Mobile Operations'!$A:$AAU,MATCH($AA167,'Domestic Mobile Operations'!$A:$A,0),MATCH(AF166,'Domestic Mobile Operations'!$1:$1,0)),"")</f>
        <v>35696.550494696501</v>
      </c>
      <c r="AG167" s="22">
        <f>IFERROR(INDEX('Domestic Mobile Operations'!$A:$AAU,MATCH($AA167,'Domestic Mobile Operations'!$A:$A,0),MATCH(AG166,'Domestic Mobile Operations'!$1:$1,0)),"")</f>
        <v>37059.020031186279</v>
      </c>
      <c r="AH167" s="22">
        <f>IFERROR(INDEX('Domestic Mobile Operations'!$A:$AAU,MATCH($AA167,'Domestic Mobile Operations'!$A:$A,0),MATCH(AH166,'Domestic Mobile Operations'!$1:$1,0)),"")</f>
        <v>36422.573670961057</v>
      </c>
      <c r="AI167" s="22">
        <f>IFERROR(INDEX('Domestic Mobile Operations'!$A:$AAU,MATCH($AA167,'Domestic Mobile Operations'!$A:$A,0),MATCH(AI166,'Domestic Mobile Operations'!$1:$1,0)),"")</f>
        <v>34139.577706136908</v>
      </c>
      <c r="AJ167" s="22">
        <f>IFERROR(INDEX('Domestic Mobile Operations'!$A:$AAU,MATCH($AA167,'Domestic Mobile Operations'!$A:$A,0),MATCH(AJ166,'Domestic Mobile Operations'!$1:$1,0)),"")</f>
        <v>33875.0365817969</v>
      </c>
      <c r="AK167" s="22">
        <f>IFERROR(INDEX('Domestic Mobile Operations'!$A:$AAU,MATCH($AA167,'Domestic Mobile Operations'!$A:$A,0),MATCH(AK166,'Domestic Mobile Operations'!$1:$1,0)),"")</f>
        <v>37119.897144883849</v>
      </c>
      <c r="AL167" s="22">
        <f>IFERROR(INDEX('Domestic Mobile Operations'!$A:$AAU,MATCH($AA167,'Domestic Mobile Operations'!$A:$A,0),MATCH(AL166,'Domestic Mobile Operations'!$1:$1,0)),"")</f>
        <v>36832.580973129989</v>
      </c>
      <c r="AM167" s="22">
        <f>IFERROR(INDEX('Domestic Mobile Operations'!$A:$AAU,MATCH($AA167,'Domestic Mobile Operations'!$A:$A,0),MATCH(AM166,'Domestic Mobile Operations'!$1:$1,0)),"")</f>
        <v>36814.237639140563</v>
      </c>
      <c r="AN167" s="22">
        <f>IFERROR(INDEX('Domestic Mobile Operations'!$A:$AAU,MATCH($AA167,'Domestic Mobile Operations'!$A:$A,0),MATCH(AN166,'Domestic Mobile Operations'!$1:$1,0)),"")</f>
        <v>37605.906071418212</v>
      </c>
      <c r="AO167" s="22">
        <f>IFERROR(INDEX('Domestic Mobile Operations'!$A:$AAU,MATCH($AA167,'Domestic Mobile Operations'!$A:$A,0),MATCH(AO166,'Domestic Mobile Operations'!$1:$1,0)),"")</f>
        <v>40361.463713560363</v>
      </c>
      <c r="AP167" s="22">
        <f>IFERROR(INDEX('Domestic Mobile Operations'!$A:$AAU,MATCH($AA167,'Domestic Mobile Operations'!$A:$A,0),MATCH(AP166,'Domestic Mobile Operations'!$1:$1,0)),"")</f>
        <v>41329.779871470528</v>
      </c>
      <c r="AQ167" s="22">
        <f>IFERROR(INDEX('Domestic Mobile Operations'!$A:$AAU,MATCH($AA167,'Domestic Mobile Operations'!$A:$A,0),MATCH(AQ166,'Domestic Mobile Operations'!$1:$1,0)),"")</f>
        <v>42378.47983753989</v>
      </c>
      <c r="AR167" s="22">
        <f>IFERROR(INDEX('Domestic Mobile Operations'!$A:$AAU,MATCH($AA167,'Domestic Mobile Operations'!$A:$A,0),MATCH(AR166,'Domestic Mobile Operations'!$1:$1,0)),"")</f>
        <v>42145.401502021952</v>
      </c>
      <c r="AS167" s="22">
        <f>IFERROR(INDEX('Domestic Mobile Operations'!$A:$AAU,MATCH($AA167,'Domestic Mobile Operations'!$A:$A,0),MATCH(AS166,'Domestic Mobile Operations'!$1:$1,0)),"")</f>
        <v>45357.73367845844</v>
      </c>
      <c r="AT167" s="22">
        <f>IFERROR(INDEX('Domestic Mobile Operations'!$A:$AAU,MATCH($AA167,'Domestic Mobile Operations'!$A:$A,0),MATCH(AT166,'Domestic Mobile Operations'!$1:$1,0)),"")</f>
        <v>44319.365079365089</v>
      </c>
      <c r="AU167" s="22">
        <f>IFERROR(INDEX('Domestic Mobile Operations'!$A:$AAU,MATCH($AA167,'Domestic Mobile Operations'!$A:$A,0),MATCH(AU166,'Domestic Mobile Operations'!$1:$1,0)),"")</f>
        <v>46655.582608695644</v>
      </c>
    </row>
    <row r="168" spans="1:47" x14ac:dyDescent="0.35">
      <c r="A168" s="3"/>
      <c r="B168" s="3"/>
      <c r="C168" s="3"/>
      <c r="D168" s="3"/>
      <c r="E168" s="3"/>
      <c r="F168" s="3"/>
      <c r="G168" s="3"/>
      <c r="H168" s="3"/>
      <c r="I168" s="3"/>
      <c r="J168" s="3"/>
      <c r="K168" s="3"/>
      <c r="L168" s="3"/>
      <c r="M168" s="3"/>
      <c r="N168" s="3"/>
      <c r="O168" s="3"/>
      <c r="P168" s="3"/>
      <c r="Q168" s="3"/>
      <c r="R168" s="3"/>
      <c r="S168" s="3"/>
      <c r="T168" s="3"/>
      <c r="U168" s="3"/>
      <c r="V168" s="3"/>
      <c r="W168" s="3"/>
    </row>
    <row r="169" spans="1:47" x14ac:dyDescent="0.35">
      <c r="A169" s="3"/>
      <c r="B169" s="3"/>
      <c r="C169" s="3"/>
      <c r="D169" s="3"/>
      <c r="E169" s="3"/>
      <c r="F169" s="3"/>
      <c r="G169" s="3"/>
      <c r="H169" s="3"/>
      <c r="I169" s="3"/>
      <c r="J169" s="3"/>
      <c r="K169" s="3"/>
      <c r="L169" s="3"/>
      <c r="M169" s="3"/>
      <c r="N169" s="3"/>
      <c r="O169" s="3"/>
      <c r="P169" s="3"/>
      <c r="Q169" s="3"/>
      <c r="R169" s="3"/>
      <c r="S169" s="3"/>
      <c r="T169" s="3"/>
      <c r="U169" s="3"/>
      <c r="V169" s="3"/>
      <c r="W169" s="3"/>
    </row>
    <row r="170" spans="1:47" x14ac:dyDescent="0.35">
      <c r="A170" s="3"/>
      <c r="B170" s="3"/>
      <c r="C170" s="3"/>
      <c r="D170" s="3"/>
      <c r="E170" s="3"/>
      <c r="F170" s="3"/>
      <c r="G170" s="3"/>
      <c r="H170" s="3"/>
      <c r="I170" s="3"/>
      <c r="J170" s="3"/>
      <c r="K170" s="3"/>
      <c r="L170" s="3"/>
      <c r="M170" s="3"/>
      <c r="N170" s="3"/>
      <c r="O170" s="3"/>
      <c r="P170" s="3"/>
      <c r="Q170" s="3"/>
      <c r="R170" s="3"/>
      <c r="S170" s="3"/>
      <c r="T170" s="3"/>
      <c r="U170" s="3"/>
      <c r="V170" s="3"/>
      <c r="W170" s="3"/>
    </row>
    <row r="171" spans="1:47" x14ac:dyDescent="0.35">
      <c r="A171" s="3"/>
      <c r="B171" s="3"/>
      <c r="C171" s="3"/>
      <c r="D171" s="3"/>
      <c r="E171" s="3"/>
      <c r="F171" s="3"/>
      <c r="G171" s="3"/>
      <c r="H171" s="3"/>
      <c r="I171" s="3"/>
      <c r="J171" s="3"/>
      <c r="K171" s="3"/>
      <c r="L171" s="3"/>
      <c r="M171" s="3"/>
      <c r="N171" s="3"/>
      <c r="O171" s="3"/>
      <c r="P171" s="3"/>
      <c r="Q171" s="3"/>
      <c r="R171" s="3"/>
      <c r="S171" s="3"/>
      <c r="T171" s="3"/>
      <c r="U171" s="3"/>
      <c r="V171" s="3"/>
      <c r="W171" s="3"/>
      <c r="AB171" s="19">
        <f t="shared" ref="AB171:AR171" si="109">AC171-1</f>
        <v>29</v>
      </c>
      <c r="AC171" s="19">
        <f t="shared" si="109"/>
        <v>30</v>
      </c>
      <c r="AD171" s="19">
        <f t="shared" si="109"/>
        <v>31</v>
      </c>
      <c r="AE171" s="19">
        <f t="shared" si="109"/>
        <v>32</v>
      </c>
      <c r="AF171" s="19">
        <f t="shared" si="109"/>
        <v>33</v>
      </c>
      <c r="AG171" s="19">
        <f t="shared" si="109"/>
        <v>34</v>
      </c>
      <c r="AH171" s="19">
        <f t="shared" si="109"/>
        <v>35</v>
      </c>
      <c r="AI171" s="19">
        <f t="shared" si="109"/>
        <v>36</v>
      </c>
      <c r="AJ171" s="19">
        <f t="shared" si="109"/>
        <v>37</v>
      </c>
      <c r="AK171" s="19">
        <f t="shared" si="109"/>
        <v>38</v>
      </c>
      <c r="AL171" s="19">
        <f t="shared" si="109"/>
        <v>39</v>
      </c>
      <c r="AM171" s="19">
        <f t="shared" si="109"/>
        <v>40</v>
      </c>
      <c r="AN171" s="19">
        <f t="shared" si="109"/>
        <v>41</v>
      </c>
      <c r="AO171" s="19">
        <f t="shared" si="109"/>
        <v>42</v>
      </c>
      <c r="AP171" s="19">
        <f t="shared" si="109"/>
        <v>43</v>
      </c>
      <c r="AQ171" s="19">
        <f t="shared" si="109"/>
        <v>44</v>
      </c>
      <c r="AR171" s="19">
        <f t="shared" si="109"/>
        <v>45</v>
      </c>
      <c r="AS171" s="19">
        <f t="shared" ref="AS171" si="110">AT171-1</f>
        <v>46</v>
      </c>
      <c r="AT171" s="19">
        <f>AU171-1</f>
        <v>47</v>
      </c>
      <c r="AU171" s="19">
        <f>VLOOKUP(AU172,Dates!$A:$D,2,FALSE)</f>
        <v>48</v>
      </c>
    </row>
    <row r="172" spans="1:47" x14ac:dyDescent="0.35">
      <c r="A172" s="3"/>
      <c r="B172" s="3"/>
      <c r="C172" s="3"/>
      <c r="D172" s="3"/>
      <c r="E172" s="3"/>
      <c r="F172" s="3"/>
      <c r="G172" s="3"/>
      <c r="H172" s="3"/>
      <c r="I172" s="3"/>
      <c r="J172" s="3"/>
      <c r="K172" s="3"/>
      <c r="L172" s="3"/>
      <c r="M172" s="3"/>
      <c r="N172" s="3"/>
      <c r="O172" s="3"/>
      <c r="P172" s="3"/>
      <c r="Q172" s="3"/>
      <c r="R172" s="3"/>
      <c r="S172" s="3"/>
      <c r="T172" s="3"/>
      <c r="U172" s="3"/>
      <c r="V172" s="3"/>
      <c r="W172" s="3"/>
      <c r="AB172" s="19" t="str">
        <f>IFERROR(VLOOKUP(AB171,Dates!$B:$D,3,FALSE),"")</f>
        <v>1Q19</v>
      </c>
      <c r="AC172" s="19" t="str">
        <f>IFERROR(VLOOKUP(AC171,Dates!$B:$D,3,FALSE),"")</f>
        <v>2Q19</v>
      </c>
      <c r="AD172" s="19" t="str">
        <f>IFERROR(VLOOKUP(AD171,Dates!$B:$D,3,FALSE),"")</f>
        <v>3Q19</v>
      </c>
      <c r="AE172" s="19" t="str">
        <f>IFERROR(VLOOKUP(AE171,Dates!$B:$D,3,FALSE),"")</f>
        <v>4Q19</v>
      </c>
      <c r="AF172" s="19" t="str">
        <f>IFERROR(VLOOKUP(AF171,Dates!$B:$D,3,FALSE),"")</f>
        <v>1Q20</v>
      </c>
      <c r="AG172" s="19" t="str">
        <f>IFERROR(VLOOKUP(AG171,Dates!$B:$D,3,FALSE),"")</f>
        <v>2Q20</v>
      </c>
      <c r="AH172" s="19" t="str">
        <f>IFERROR(VLOOKUP(AH171,Dates!$B:$D,3,FALSE),"")</f>
        <v>3Q20</v>
      </c>
      <c r="AI172" s="19" t="str">
        <f>IFERROR(VLOOKUP(AI171,Dates!$B:$D,3,FALSE),"")</f>
        <v>4Q20</v>
      </c>
      <c r="AJ172" s="19" t="str">
        <f>IFERROR(VLOOKUP(AJ171,Dates!$B:$D,3,FALSE),"")</f>
        <v>1Q21</v>
      </c>
      <c r="AK172" s="19" t="str">
        <f>IFERROR(VLOOKUP(AK171,Dates!$B:$D,3,FALSE),"")</f>
        <v>2Q21</v>
      </c>
      <c r="AL172" s="19" t="str">
        <f>IFERROR(VLOOKUP(AL171,Dates!$B:$D,3,FALSE),"")</f>
        <v>3Q21</v>
      </c>
      <c r="AM172" s="19" t="str">
        <f>IFERROR(VLOOKUP(AM171,Dates!$B:$D,3,FALSE),"")</f>
        <v>4Q21</v>
      </c>
      <c r="AN172" s="19" t="str">
        <f>IFERROR(VLOOKUP(AN171,Dates!$B:$D,3,FALSE),"")</f>
        <v>1Q22</v>
      </c>
      <c r="AO172" s="19" t="str">
        <f>IFERROR(VLOOKUP(AO171,Dates!$B:$D,3,FALSE),"")</f>
        <v>2Q22</v>
      </c>
      <c r="AP172" s="19" t="str">
        <f>IFERROR(VLOOKUP(AP171,Dates!$B:$D,3,FALSE),"")</f>
        <v>3Q22</v>
      </c>
      <c r="AQ172" s="19" t="str">
        <f>IFERROR(VLOOKUP(AQ171,Dates!$B:$D,3,FALSE),"")</f>
        <v>4Q22</v>
      </c>
      <c r="AR172" s="19" t="str">
        <f>IFERROR(VLOOKUP(AR171,Dates!$B:$D,3,FALSE),"")</f>
        <v>1Q23</v>
      </c>
      <c r="AS172" s="19" t="str">
        <f>IFERROR(VLOOKUP(AS171,Dates!$B:$D,3,FALSE),"")</f>
        <v>2Q23</v>
      </c>
      <c r="AT172" s="19" t="str">
        <f>IFERROR(VLOOKUP(AT171,Dates!$B:$D,3,FALSE),"")</f>
        <v>3Q23</v>
      </c>
      <c r="AU172" s="20" t="str">
        <f>$G$3</f>
        <v>4Q23</v>
      </c>
    </row>
    <row r="173" spans="1:47" x14ac:dyDescent="0.35">
      <c r="A173" s="3"/>
      <c r="B173" s="3"/>
      <c r="C173" s="3"/>
      <c r="D173" s="3"/>
      <c r="E173" s="3"/>
      <c r="F173" s="3"/>
      <c r="G173" s="3"/>
      <c r="H173" s="3"/>
      <c r="I173" s="3"/>
      <c r="J173" s="3"/>
      <c r="K173" s="3"/>
      <c r="L173" s="3"/>
      <c r="M173" s="3"/>
      <c r="N173" s="3"/>
      <c r="O173" s="3"/>
      <c r="P173" s="3"/>
      <c r="Q173" s="3"/>
      <c r="R173" s="3"/>
      <c r="S173" s="3"/>
      <c r="T173" s="3"/>
      <c r="U173" s="3"/>
      <c r="V173" s="3"/>
      <c r="W173" s="3"/>
      <c r="AA173" s="21" t="str">
        <f>'Domestic Mobile Operations'!A41</f>
        <v>ARPU Growth</v>
      </c>
      <c r="AB173" s="23">
        <f>IFERROR(INDEX('Domestic Mobile Operations'!$A:$AAU,MATCH($AA173,'Domestic Mobile Operations'!$A:$A,0),MATCH(AB172,'Domestic Mobile Operations'!$1:$1,0)),"")</f>
        <v>0.10000000000000009</v>
      </c>
      <c r="AC173" s="23">
        <f>IFERROR(INDEX('Domestic Mobile Operations'!$A:$AAU,MATCH($AA173,'Domestic Mobile Operations'!$A:$A,0),MATCH(AC172,'Domestic Mobile Operations'!$1:$1,0)),"")</f>
        <v>9.6774193548387011E-2</v>
      </c>
      <c r="AD173" s="23">
        <f>IFERROR(INDEX('Domestic Mobile Operations'!$A:$AAU,MATCH($AA173,'Domestic Mobile Operations'!$A:$A,0),MATCH(AD172,'Domestic Mobile Operations'!$1:$1,0)),"")</f>
        <v>9.375E-2</v>
      </c>
      <c r="AE173" s="23">
        <f>IFERROR(INDEX('Domestic Mobile Operations'!$A:$AAU,MATCH($AA173,'Domestic Mobile Operations'!$A:$A,0),MATCH(AE172,'Domestic Mobile Operations'!$1:$1,0)),"")</f>
        <v>9.0909090909090828E-2</v>
      </c>
      <c r="AF173" s="23">
        <f>IFERROR(INDEX('Domestic Mobile Operations'!$A:$AAU,MATCH($AA173,'Domestic Mobile Operations'!$A:$A,0),MATCH(AF172,'Domestic Mobile Operations'!$1:$1,0)),"")</f>
        <v>9.0909090909090828E-2</v>
      </c>
      <c r="AG173" s="23">
        <f>IFERROR(INDEX('Domestic Mobile Operations'!$A:$AAU,MATCH($AA173,'Domestic Mobile Operations'!$A:$A,0),MATCH(AG172,'Domestic Mobile Operations'!$1:$1,0)),"")</f>
        <v>8.8235294117646967E-2</v>
      </c>
      <c r="AH173" s="23">
        <f>IFERROR(INDEX('Domestic Mobile Operations'!$A:$AAU,MATCH($AA173,'Domestic Mobile Operations'!$A:$A,0),MATCH(AH172,'Domestic Mobile Operations'!$1:$1,0)),"")</f>
        <v>2.857142857142847E-2</v>
      </c>
      <c r="AI173" s="23">
        <f>IFERROR(INDEX('Domestic Mobile Operations'!$A:$AAU,MATCH($AA173,'Domestic Mobile Operations'!$A:$A,0),MATCH(AI172,'Domestic Mobile Operations'!$1:$1,0)),"")</f>
        <v>-5.555555555555558E-2</v>
      </c>
      <c r="AJ173" s="23">
        <f>IFERROR(INDEX('Domestic Mobile Operations'!$A:$AAU,MATCH($AA173,'Domestic Mobile Operations'!$A:$A,0),MATCH(AJ172,'Domestic Mobile Operations'!$1:$1,0)),"")</f>
        <v>-2.777777777777779E-2</v>
      </c>
      <c r="AK173" s="23">
        <f>IFERROR(INDEX('Domestic Mobile Operations'!$A:$AAU,MATCH($AA173,'Domestic Mobile Operations'!$A:$A,0),MATCH(AK172,'Domestic Mobile Operations'!$1:$1,0)),"")</f>
        <v>0</v>
      </c>
      <c r="AL173" s="23">
        <f>IFERROR(INDEX('Domestic Mobile Operations'!$A:$AAU,MATCH($AA173,'Domestic Mobile Operations'!$A:$A,0),MATCH(AL172,'Domestic Mobile Operations'!$1:$1,0)),"")</f>
        <v>2.7777777777777679E-2</v>
      </c>
      <c r="AM173" s="23">
        <f>IFERROR(INDEX('Domestic Mobile Operations'!$A:$AAU,MATCH($AA173,'Domestic Mobile Operations'!$A:$A,0),MATCH(AM172,'Domestic Mobile Operations'!$1:$1,0)),"")</f>
        <v>8.8235294117646967E-2</v>
      </c>
      <c r="AN173" s="23">
        <f>IFERROR(INDEX('Domestic Mobile Operations'!$A:$AAU,MATCH($AA173,'Domestic Mobile Operations'!$A:$A,0),MATCH(AN172,'Domestic Mobile Operations'!$1:$1,0)),"")</f>
        <v>2.857142857142847E-2</v>
      </c>
      <c r="AO173" s="23">
        <f>IFERROR(INDEX('Domestic Mobile Operations'!$A:$AAU,MATCH($AA173,'Domestic Mobile Operations'!$A:$A,0),MATCH(AO172,'Domestic Mobile Operations'!$1:$1,0)),"")</f>
        <v>5.4054054054053946E-2</v>
      </c>
      <c r="AP173" s="23">
        <f>IFERROR(INDEX('Domestic Mobile Operations'!$A:$AAU,MATCH($AA173,'Domestic Mobile Operations'!$A:$A,0),MATCH(AP172,'Domestic Mobile Operations'!$1:$1,0)),"")</f>
        <v>8.1081081081081141E-2</v>
      </c>
      <c r="AQ173" s="23">
        <f>IFERROR(INDEX('Domestic Mobile Operations'!$A:$AAU,MATCH($AA173,'Domestic Mobile Operations'!$A:$A,0),MATCH(AQ172,'Domestic Mobile Operations'!$1:$1,0)),"")</f>
        <v>8.1081081081081141E-2</v>
      </c>
      <c r="AR173" s="23">
        <f>IFERROR(INDEX('Domestic Mobile Operations'!$A:$AAU,MATCH($AA173,'Domestic Mobile Operations'!$A:$A,0),MATCH(AR172,'Domestic Mobile Operations'!$1:$1,0)),"")</f>
        <v>0.11111111111111116</v>
      </c>
      <c r="AS173" s="23">
        <f>IFERROR(INDEX('Domestic Mobile Operations'!$A:$AAU,MATCH($AA173,'Domestic Mobile Operations'!$A:$A,0),MATCH(AS172,'Domestic Mobile Operations'!$1:$1,0)),"")</f>
        <v>7.6923076923076872E-2</v>
      </c>
      <c r="AT173" s="23">
        <f>IFERROR(INDEX('Domestic Mobile Operations'!$A:$AAU,MATCH($AA173,'Domestic Mobile Operations'!$A:$A,0),MATCH(AT172,'Domestic Mobile Operations'!$1:$1,0)),"")</f>
        <v>5.0000000000000044E-2</v>
      </c>
      <c r="AU173" s="23">
        <f>IFERROR(INDEX('Domestic Mobile Operations'!$A:$AAU,MATCH($AA173,'Domestic Mobile Operations'!$A:$A,0),MATCH(AU172,'Domestic Mobile Operations'!$1:$1,0)),"")</f>
        <v>7.4999999999999956E-2</v>
      </c>
    </row>
    <row r="174" spans="1:47" x14ac:dyDescent="0.35">
      <c r="A174" s="3"/>
      <c r="B174" s="3"/>
      <c r="C174" s="3"/>
      <c r="D174" s="3"/>
      <c r="E174" s="3"/>
      <c r="F174" s="3"/>
      <c r="G174" s="3"/>
      <c r="H174" s="3"/>
      <c r="I174" s="3"/>
      <c r="J174" s="3"/>
      <c r="K174" s="3"/>
      <c r="L174" s="3"/>
      <c r="M174" s="3"/>
      <c r="N174" s="3"/>
      <c r="O174" s="3"/>
      <c r="P174" s="3"/>
      <c r="Q174" s="3"/>
      <c r="R174" s="3"/>
      <c r="S174" s="3"/>
      <c r="T174" s="3"/>
      <c r="U174" s="3"/>
      <c r="V174" s="3"/>
      <c r="W174" s="3"/>
    </row>
    <row r="175" spans="1:47" x14ac:dyDescent="0.35">
      <c r="A175" s="3"/>
      <c r="B175" s="3"/>
      <c r="C175" s="3"/>
      <c r="D175" s="3"/>
      <c r="E175" s="3"/>
      <c r="F175" s="3"/>
      <c r="G175" s="3"/>
      <c r="H175" s="3"/>
      <c r="I175" s="3"/>
      <c r="J175" s="3"/>
      <c r="K175" s="3"/>
      <c r="L175" s="3"/>
      <c r="M175" s="3"/>
      <c r="N175" s="3"/>
      <c r="O175" s="3"/>
      <c r="P175" s="3"/>
      <c r="Q175" s="3"/>
      <c r="R175" s="3"/>
      <c r="S175" s="3"/>
      <c r="T175" s="3"/>
      <c r="U175" s="3"/>
      <c r="V175" s="3"/>
      <c r="W175" s="3"/>
    </row>
    <row r="176" spans="1:47" x14ac:dyDescent="0.35">
      <c r="A176" s="3"/>
      <c r="B176" s="3"/>
      <c r="C176" s="3"/>
      <c r="D176" s="3"/>
      <c r="E176" s="3"/>
      <c r="F176" s="3"/>
      <c r="G176" s="3"/>
      <c r="H176" s="3"/>
      <c r="I176" s="3"/>
      <c r="J176" s="3"/>
      <c r="K176" s="3"/>
      <c r="L176" s="3"/>
      <c r="M176" s="3"/>
      <c r="N176" s="3"/>
      <c r="O176" s="3"/>
      <c r="P176" s="3"/>
      <c r="Q176" s="3"/>
      <c r="R176" s="3"/>
      <c r="S176" s="3"/>
      <c r="T176" s="3"/>
      <c r="U176" s="3"/>
      <c r="V176" s="3"/>
      <c r="W176" s="3"/>
    </row>
    <row r="177" spans="1:47" x14ac:dyDescent="0.35">
      <c r="A177" s="3" t="s">
        <v>172</v>
      </c>
      <c r="B177" s="3" t="s">
        <v>186</v>
      </c>
      <c r="C177" s="3"/>
      <c r="D177" s="3"/>
      <c r="E177" s="3"/>
      <c r="F177" s="3"/>
      <c r="G177" s="3"/>
      <c r="H177" s="3"/>
      <c r="I177" s="3"/>
      <c r="J177" s="3"/>
      <c r="K177" s="3"/>
      <c r="L177" s="3"/>
      <c r="M177" s="3"/>
      <c r="N177" s="3"/>
      <c r="O177" s="3"/>
      <c r="P177" s="3"/>
      <c r="Q177" s="3"/>
      <c r="R177" s="3"/>
      <c r="S177" s="3"/>
      <c r="T177" s="3"/>
      <c r="U177" s="3"/>
      <c r="V177" s="3"/>
      <c r="W177" s="3"/>
    </row>
    <row r="178" spans="1:47" x14ac:dyDescent="0.35">
      <c r="A178" s="3"/>
      <c r="B178" s="3"/>
      <c r="C178" s="3"/>
      <c r="D178" s="3"/>
      <c r="E178" s="3"/>
      <c r="F178" s="3"/>
      <c r="G178" s="3"/>
      <c r="H178" s="3"/>
      <c r="I178" s="3"/>
      <c r="J178" s="3"/>
      <c r="K178" s="3"/>
      <c r="L178" s="3"/>
      <c r="M178" s="3"/>
      <c r="N178" s="3"/>
      <c r="O178" s="3"/>
      <c r="P178" s="3"/>
      <c r="Q178" s="3"/>
      <c r="R178" s="3"/>
      <c r="S178" s="3"/>
      <c r="T178" s="3"/>
      <c r="U178" s="3"/>
      <c r="V178" s="3"/>
      <c r="W178" s="3"/>
    </row>
    <row r="179" spans="1:47" x14ac:dyDescent="0.35">
      <c r="A179" s="1" t="s">
        <v>30</v>
      </c>
      <c r="B179" s="1" t="s">
        <v>138</v>
      </c>
      <c r="C179" s="1"/>
      <c r="D179" s="1"/>
      <c r="E179" s="1"/>
      <c r="F179" s="1"/>
      <c r="G179" s="1"/>
      <c r="H179" s="1"/>
      <c r="I179" s="1"/>
      <c r="J179" s="1" t="s">
        <v>31</v>
      </c>
      <c r="K179" s="1" t="s">
        <v>139</v>
      </c>
      <c r="L179" s="1"/>
      <c r="M179" s="1"/>
      <c r="N179" s="1"/>
      <c r="O179" s="1"/>
      <c r="P179" s="1"/>
      <c r="Q179" s="1"/>
      <c r="R179" s="1"/>
      <c r="S179" s="1"/>
      <c r="T179" s="1"/>
      <c r="U179" s="3"/>
      <c r="V179" s="3"/>
      <c r="W179" s="3"/>
    </row>
    <row r="180" spans="1:47" x14ac:dyDescent="0.35">
      <c r="A180" s="3"/>
      <c r="B180" s="3"/>
      <c r="C180" s="3"/>
      <c r="D180" s="3"/>
      <c r="E180" s="3"/>
      <c r="F180" s="3"/>
      <c r="G180" s="3"/>
      <c r="H180" s="3"/>
      <c r="I180" s="3"/>
      <c r="J180" s="3"/>
      <c r="K180" s="3"/>
      <c r="L180" s="3"/>
      <c r="M180" s="3"/>
      <c r="N180" s="3"/>
      <c r="O180" s="3"/>
      <c r="P180" s="3"/>
      <c r="Q180" s="3"/>
      <c r="R180" s="3"/>
      <c r="S180" s="3"/>
      <c r="T180" s="3"/>
      <c r="U180" s="3"/>
      <c r="V180" s="3"/>
      <c r="W180" s="3"/>
    </row>
    <row r="181" spans="1:47" x14ac:dyDescent="0.35">
      <c r="A181" s="3"/>
      <c r="B181" s="3"/>
      <c r="C181" s="3"/>
      <c r="D181" s="3"/>
      <c r="E181" s="3"/>
      <c r="F181" s="3"/>
      <c r="G181" s="3"/>
      <c r="H181" s="3"/>
      <c r="I181" s="3"/>
      <c r="J181" s="3"/>
      <c r="K181" s="3"/>
      <c r="L181" s="3"/>
      <c r="M181" s="3"/>
      <c r="N181" s="3"/>
      <c r="O181" s="3"/>
      <c r="P181" s="3"/>
      <c r="Q181" s="3"/>
      <c r="R181" s="3"/>
      <c r="S181" s="3"/>
      <c r="T181" s="3"/>
      <c r="U181" s="3"/>
      <c r="V181" s="3"/>
      <c r="W181" s="3"/>
      <c r="AB181" s="19">
        <f t="shared" ref="AB181:AR181" si="111">AC181-1</f>
        <v>29</v>
      </c>
      <c r="AC181" s="19">
        <f t="shared" si="111"/>
        <v>30</v>
      </c>
      <c r="AD181" s="19">
        <f t="shared" si="111"/>
        <v>31</v>
      </c>
      <c r="AE181" s="19">
        <f t="shared" si="111"/>
        <v>32</v>
      </c>
      <c r="AF181" s="19">
        <f t="shared" si="111"/>
        <v>33</v>
      </c>
      <c r="AG181" s="19">
        <f t="shared" si="111"/>
        <v>34</v>
      </c>
      <c r="AH181" s="19">
        <f t="shared" si="111"/>
        <v>35</v>
      </c>
      <c r="AI181" s="19">
        <f t="shared" si="111"/>
        <v>36</v>
      </c>
      <c r="AJ181" s="19">
        <f t="shared" si="111"/>
        <v>37</v>
      </c>
      <c r="AK181" s="19">
        <f t="shared" si="111"/>
        <v>38</v>
      </c>
      <c r="AL181" s="19">
        <f t="shared" si="111"/>
        <v>39</v>
      </c>
      <c r="AM181" s="19">
        <f t="shared" si="111"/>
        <v>40</v>
      </c>
      <c r="AN181" s="19">
        <f t="shared" si="111"/>
        <v>41</v>
      </c>
      <c r="AO181" s="19">
        <f t="shared" si="111"/>
        <v>42</v>
      </c>
      <c r="AP181" s="19">
        <f t="shared" si="111"/>
        <v>43</v>
      </c>
      <c r="AQ181" s="19">
        <f t="shared" si="111"/>
        <v>44</v>
      </c>
      <c r="AR181" s="19">
        <f t="shared" si="111"/>
        <v>45</v>
      </c>
      <c r="AS181" s="19">
        <f t="shared" ref="AS181" si="112">AT181-1</f>
        <v>46</v>
      </c>
      <c r="AT181" s="19">
        <f>AU181-1</f>
        <v>47</v>
      </c>
      <c r="AU181" s="19">
        <f>VLOOKUP(AU182,Dates!$A:$D,2,FALSE)</f>
        <v>48</v>
      </c>
    </row>
    <row r="182" spans="1:47" x14ac:dyDescent="0.35">
      <c r="A182" s="3"/>
      <c r="B182" s="3"/>
      <c r="C182" s="3"/>
      <c r="D182" s="3"/>
      <c r="E182" s="3"/>
      <c r="F182" s="3"/>
      <c r="G182" s="3"/>
      <c r="H182" s="3"/>
      <c r="I182" s="3"/>
      <c r="J182" s="3"/>
      <c r="K182" s="3"/>
      <c r="L182" s="3"/>
      <c r="M182" s="3"/>
      <c r="N182" s="3"/>
      <c r="O182" s="3"/>
      <c r="P182" s="3"/>
      <c r="Q182" s="3"/>
      <c r="R182" s="3"/>
      <c r="S182" s="3"/>
      <c r="T182" s="3"/>
      <c r="U182" s="3"/>
      <c r="V182" s="3"/>
      <c r="W182" s="3"/>
      <c r="AB182" s="19" t="str">
        <f>IFERROR(VLOOKUP(AB181,Dates!$B:$D,3,FALSE),"")</f>
        <v>1Q19</v>
      </c>
      <c r="AC182" s="19" t="str">
        <f>IFERROR(VLOOKUP(AC181,Dates!$B:$D,3,FALSE),"")</f>
        <v>2Q19</v>
      </c>
      <c r="AD182" s="19" t="str">
        <f>IFERROR(VLOOKUP(AD181,Dates!$B:$D,3,FALSE),"")</f>
        <v>3Q19</v>
      </c>
      <c r="AE182" s="19" t="str">
        <f>IFERROR(VLOOKUP(AE181,Dates!$B:$D,3,FALSE),"")</f>
        <v>4Q19</v>
      </c>
      <c r="AF182" s="19" t="str">
        <f>IFERROR(VLOOKUP(AF181,Dates!$B:$D,3,FALSE),"")</f>
        <v>1Q20</v>
      </c>
      <c r="AG182" s="19" t="str">
        <f>IFERROR(VLOOKUP(AG181,Dates!$B:$D,3,FALSE),"")</f>
        <v>2Q20</v>
      </c>
      <c r="AH182" s="19" t="str">
        <f>IFERROR(VLOOKUP(AH181,Dates!$B:$D,3,FALSE),"")</f>
        <v>3Q20</v>
      </c>
      <c r="AI182" s="19" t="str">
        <f>IFERROR(VLOOKUP(AI181,Dates!$B:$D,3,FALSE),"")</f>
        <v>4Q20</v>
      </c>
      <c r="AJ182" s="19" t="str">
        <f>IFERROR(VLOOKUP(AJ181,Dates!$B:$D,3,FALSE),"")</f>
        <v>1Q21</v>
      </c>
      <c r="AK182" s="19" t="str">
        <f>IFERROR(VLOOKUP(AK181,Dates!$B:$D,3,FALSE),"")</f>
        <v>2Q21</v>
      </c>
      <c r="AL182" s="19" t="str">
        <f>IFERROR(VLOOKUP(AL181,Dates!$B:$D,3,FALSE),"")</f>
        <v>3Q21</v>
      </c>
      <c r="AM182" s="19" t="str">
        <f>IFERROR(VLOOKUP(AM181,Dates!$B:$D,3,FALSE),"")</f>
        <v>4Q21</v>
      </c>
      <c r="AN182" s="19" t="str">
        <f>IFERROR(VLOOKUP(AN181,Dates!$B:$D,3,FALSE),"")</f>
        <v>1Q22</v>
      </c>
      <c r="AO182" s="19" t="str">
        <f>IFERROR(VLOOKUP(AO181,Dates!$B:$D,3,FALSE),"")</f>
        <v>2Q22</v>
      </c>
      <c r="AP182" s="19" t="str">
        <f>IFERROR(VLOOKUP(AP181,Dates!$B:$D,3,FALSE),"")</f>
        <v>3Q22</v>
      </c>
      <c r="AQ182" s="19" t="str">
        <f>IFERROR(VLOOKUP(AQ181,Dates!$B:$D,3,FALSE),"")</f>
        <v>4Q22</v>
      </c>
      <c r="AR182" s="19" t="str">
        <f>IFERROR(VLOOKUP(AR181,Dates!$B:$D,3,FALSE),"")</f>
        <v>1Q23</v>
      </c>
      <c r="AS182" s="19" t="str">
        <f>IFERROR(VLOOKUP(AS181,Dates!$B:$D,3,FALSE),"")</f>
        <v>2Q23</v>
      </c>
      <c r="AT182" s="19" t="str">
        <f>IFERROR(VLOOKUP(AT181,Dates!$B:$D,3,FALSE),"")</f>
        <v>3Q23</v>
      </c>
      <c r="AU182" s="20" t="str">
        <f>$G$3</f>
        <v>4Q23</v>
      </c>
    </row>
    <row r="183" spans="1:47" x14ac:dyDescent="0.35">
      <c r="A183" s="3"/>
      <c r="B183" s="3"/>
      <c r="C183" s="3"/>
      <c r="D183" s="3"/>
      <c r="E183" s="3"/>
      <c r="F183" s="3"/>
      <c r="G183" s="3"/>
      <c r="H183" s="3"/>
      <c r="I183" s="3"/>
      <c r="J183" s="3"/>
      <c r="K183" s="3"/>
      <c r="L183" s="3"/>
      <c r="M183" s="3"/>
      <c r="N183" s="3"/>
      <c r="O183" s="3"/>
      <c r="P183" s="3"/>
      <c r="Q183" s="3"/>
      <c r="R183" s="3"/>
      <c r="S183" s="3"/>
      <c r="T183" s="3"/>
      <c r="U183" s="3"/>
      <c r="V183" s="3"/>
      <c r="W183" s="3"/>
      <c r="AA183" s="21" t="str">
        <f>'Domestic Mobile Operations'!A44</f>
        <v>Total Traffic Growth</v>
      </c>
      <c r="AB183" s="23">
        <f>IFERROR(INDEX('Domestic Mobile Operations'!$A:$AAU,MATCH($AA183,'Domestic Mobile Operations'!$A:$A,0),MATCH(AB182,'Domestic Mobile Operations'!$1:$1,0)),"")</f>
        <v>0.70155688622754475</v>
      </c>
      <c r="AC183" s="23">
        <f>IFERROR(INDEX('Domestic Mobile Operations'!$A:$AAU,MATCH($AA183,'Domestic Mobile Operations'!$A:$A,0),MATCH(AC182,'Domestic Mobile Operations'!$1:$1,0)),"")</f>
        <v>0.58455598455598468</v>
      </c>
      <c r="AD183" s="23">
        <f>IFERROR(INDEX('Domestic Mobile Operations'!$A:$AAU,MATCH($AA183,'Domestic Mobile Operations'!$A:$A,0),MATCH(AD182,'Domestic Mobile Operations'!$1:$1,0)),"")</f>
        <v>0.43319362950544793</v>
      </c>
      <c r="AE183" s="23">
        <f>IFERROR(INDEX('Domestic Mobile Operations'!$A:$AAU,MATCH($AA183,'Domestic Mobile Operations'!$A:$A,0),MATCH(AE182,'Domestic Mobile Operations'!$1:$1,0)),"")</f>
        <v>0.39718857484671743</v>
      </c>
      <c r="AF183" s="23">
        <f>IFERROR(INDEX('Domestic Mobile Operations'!$A:$AAU,MATCH($AA183,'Domestic Mobile Operations'!$A:$A,0),MATCH(AF182,'Domestic Mobile Operations'!$1:$1,0)),"")</f>
        <v>0.4076576576576576</v>
      </c>
      <c r="AG183" s="23">
        <f>IFERROR(INDEX('Domestic Mobile Operations'!$A:$AAU,MATCH($AA183,'Domestic Mobile Operations'!$A:$A,0),MATCH(AG182,'Domestic Mobile Operations'!$1:$1,0)),"")</f>
        <v>0.48757309941520455</v>
      </c>
      <c r="AH183" s="23">
        <f>IFERROR(INDEX('Domestic Mobile Operations'!$A:$AAU,MATCH($AA183,'Domestic Mobile Operations'!$A:$A,0),MATCH(AH182,'Domestic Mobile Operations'!$1:$1,0)),"")</f>
        <v>0.49140250321675083</v>
      </c>
      <c r="AI183" s="23">
        <f>IFERROR(INDEX('Domestic Mobile Operations'!$A:$AAU,MATCH($AA183,'Domestic Mobile Operations'!$A:$A,0),MATCH(AI182,'Domestic Mobile Operations'!$1:$1,0)),"")</f>
        <v>0.4727603553462485</v>
      </c>
      <c r="AJ183" s="23">
        <f>IFERROR(INDEX('Domestic Mobile Operations'!$A:$AAU,MATCH($AA183,'Domestic Mobile Operations'!$A:$A,0),MATCH(AJ182,'Domestic Mobile Operations'!$1:$1,0)),"")</f>
        <v>0.39100000000000001</v>
      </c>
      <c r="AK183" s="23">
        <f>IFERROR(INDEX('Domestic Mobile Operations'!$A:$AAU,MATCH($AA183,'Domestic Mobile Operations'!$A:$A,0),MATCH(AK182,'Domestic Mobile Operations'!$1:$1,0)),"")</f>
        <v>0.28746928746928746</v>
      </c>
      <c r="AL183" s="23">
        <f>IFERROR(INDEX('Domestic Mobile Operations'!$A:$AAU,MATCH($AA183,'Domestic Mobile Operations'!$A:$A,0),MATCH(AL182,'Domestic Mobile Operations'!$1:$1,0)),"")</f>
        <v>0.35058823529411764</v>
      </c>
      <c r="AM183" s="23">
        <f>IFERROR(INDEX('Domestic Mobile Operations'!$A:$AAU,MATCH($AA183,'Domestic Mobile Operations'!$A:$A,0),MATCH(AM182,'Domestic Mobile Operations'!$1:$1,0)),"")</f>
        <v>0.35537790697674421</v>
      </c>
      <c r="AN183" s="23">
        <f>IFERROR(INDEX('Domestic Mobile Operations'!$A:$AAU,MATCH($AA183,'Domestic Mobile Operations'!$A:$A,0),MATCH(AN182,'Domestic Mobile Operations'!$1:$1,0)),"")</f>
        <v>0.33501078360891445</v>
      </c>
      <c r="AO183" s="23">
        <f>IFERROR(INDEX('Domestic Mobile Operations'!$A:$AAU,MATCH($AA183,'Domestic Mobile Operations'!$A:$A,0),MATCH(AO182,'Domestic Mobile Operations'!$1:$1,0)),"")</f>
        <v>0.26145038167938939</v>
      </c>
      <c r="AP183" s="23">
        <f>IFERROR(INDEX('Domestic Mobile Operations'!$A:$AAU,MATCH($AA183,'Domestic Mobile Operations'!$A:$A,0),MATCH(AP182,'Domestic Mobile Operations'!$1:$1,0)),"")</f>
        <v>0.18815331010452963</v>
      </c>
      <c r="AQ183" s="23">
        <f>IFERROR(INDEX('Domestic Mobile Operations'!$A:$AAU,MATCH($AA183,'Domestic Mobile Operations'!$A:$A,0),MATCH(AQ182,'Domestic Mobile Operations'!$1:$1,0)),"")</f>
        <v>0.12922252010723856</v>
      </c>
      <c r="AR183" s="23">
        <f>IFERROR(INDEX('Domestic Mobile Operations'!$A:$AAU,MATCH($AA183,'Domestic Mobile Operations'!$A:$A,0),MATCH(AR182,'Domestic Mobile Operations'!$1:$1,0)),"")</f>
        <v>0.18686052773290251</v>
      </c>
      <c r="AS183" s="23">
        <f>IFERROR(INDEX('Domestic Mobile Operations'!$A:$AAU,MATCH($AA183,'Domestic Mobile Operations'!$A:$A,0),MATCH(AS182,'Domestic Mobile Operations'!$1:$1,0)),"")</f>
        <v>0.23651033787191134</v>
      </c>
      <c r="AT183" s="23">
        <f>IFERROR(INDEX('Domestic Mobile Operations'!$A:$AAU,MATCH($AA183,'Domestic Mobile Operations'!$A:$A,0),MATCH(AT182,'Domestic Mobile Operations'!$1:$1,0)),"")</f>
        <v>0.19892473118279574</v>
      </c>
      <c r="AU183" s="23">
        <f>IFERROR(INDEX('Domestic Mobile Operations'!$A:$AAU,MATCH($AA183,'Domestic Mobile Operations'!$A:$A,0),MATCH(AU182,'Domestic Mobile Operations'!$1:$1,0)),"")</f>
        <v>0.20085470085470081</v>
      </c>
    </row>
    <row r="184" spans="1:47" x14ac:dyDescent="0.35">
      <c r="A184" s="3"/>
      <c r="B184" s="3"/>
      <c r="C184" s="3"/>
      <c r="D184" s="3"/>
      <c r="E184" s="3"/>
      <c r="F184" s="3"/>
      <c r="G184" s="3"/>
      <c r="H184" s="3"/>
      <c r="I184" s="3"/>
      <c r="J184" s="3"/>
      <c r="K184" s="3"/>
      <c r="L184" s="3"/>
      <c r="M184" s="3"/>
      <c r="N184" s="3"/>
      <c r="O184" s="3"/>
      <c r="P184" s="3"/>
      <c r="Q184" s="3"/>
      <c r="R184" s="3"/>
      <c r="S184" s="3"/>
      <c r="T184" s="3"/>
      <c r="U184" s="3"/>
      <c r="V184" s="3"/>
      <c r="W184" s="3"/>
    </row>
    <row r="185" spans="1:47" x14ac:dyDescent="0.35">
      <c r="A185" s="3"/>
      <c r="B185" s="3"/>
      <c r="C185" s="3"/>
      <c r="D185" s="3"/>
      <c r="E185" s="3"/>
      <c r="F185" s="3"/>
      <c r="G185" s="3"/>
      <c r="H185" s="3"/>
      <c r="I185" s="3"/>
      <c r="J185" s="3"/>
      <c r="K185" s="3"/>
      <c r="L185" s="3"/>
      <c r="M185" s="3"/>
      <c r="N185" s="3"/>
      <c r="O185" s="3"/>
      <c r="P185" s="3"/>
      <c r="Q185" s="3"/>
      <c r="R185" s="3"/>
      <c r="S185" s="3"/>
      <c r="T185" s="3"/>
      <c r="U185" s="3"/>
      <c r="V185" s="3"/>
      <c r="W185" s="3"/>
    </row>
    <row r="186" spans="1:47" x14ac:dyDescent="0.35">
      <c r="A186" s="3"/>
      <c r="B186" s="3"/>
      <c r="C186" s="3"/>
      <c r="D186" s="3"/>
      <c r="E186" s="3"/>
      <c r="F186" s="3"/>
      <c r="G186" s="3"/>
      <c r="H186" s="3"/>
      <c r="I186" s="3"/>
      <c r="J186" s="3"/>
      <c r="K186" s="3"/>
      <c r="L186" s="3"/>
      <c r="M186" s="3"/>
      <c r="N186" s="3"/>
      <c r="O186" s="3"/>
      <c r="P186" s="3"/>
      <c r="Q186" s="3"/>
      <c r="R186" s="3"/>
      <c r="S186" s="3"/>
      <c r="T186" s="3"/>
      <c r="U186" s="3"/>
      <c r="V186" s="3"/>
      <c r="W186" s="3"/>
    </row>
    <row r="187" spans="1:47" x14ac:dyDescent="0.35">
      <c r="A187" s="3"/>
      <c r="B187" s="3"/>
      <c r="C187" s="3"/>
      <c r="D187" s="3"/>
      <c r="E187" s="3"/>
      <c r="F187" s="3"/>
      <c r="G187" s="3"/>
      <c r="H187" s="3"/>
      <c r="I187" s="3"/>
      <c r="J187" s="3"/>
      <c r="K187" s="3"/>
      <c r="L187" s="3"/>
      <c r="M187" s="3"/>
      <c r="N187" s="3"/>
      <c r="O187" s="3"/>
      <c r="P187" s="3"/>
      <c r="Q187" s="3"/>
      <c r="R187" s="3"/>
      <c r="S187" s="3"/>
      <c r="T187" s="3"/>
      <c r="U187" s="3"/>
      <c r="V187" s="3"/>
      <c r="W187" s="3"/>
      <c r="AB187" s="19">
        <f t="shared" ref="AB187:AR187" si="113">AC187-1</f>
        <v>29</v>
      </c>
      <c r="AC187" s="19">
        <f t="shared" si="113"/>
        <v>30</v>
      </c>
      <c r="AD187" s="19">
        <f t="shared" si="113"/>
        <v>31</v>
      </c>
      <c r="AE187" s="19">
        <f t="shared" si="113"/>
        <v>32</v>
      </c>
      <c r="AF187" s="19">
        <f t="shared" si="113"/>
        <v>33</v>
      </c>
      <c r="AG187" s="19">
        <f t="shared" si="113"/>
        <v>34</v>
      </c>
      <c r="AH187" s="19">
        <f t="shared" si="113"/>
        <v>35</v>
      </c>
      <c r="AI187" s="19">
        <f t="shared" si="113"/>
        <v>36</v>
      </c>
      <c r="AJ187" s="19">
        <f t="shared" si="113"/>
        <v>37</v>
      </c>
      <c r="AK187" s="19">
        <f t="shared" si="113"/>
        <v>38</v>
      </c>
      <c r="AL187" s="19">
        <f t="shared" si="113"/>
        <v>39</v>
      </c>
      <c r="AM187" s="19">
        <f t="shared" si="113"/>
        <v>40</v>
      </c>
      <c r="AN187" s="19">
        <f t="shared" si="113"/>
        <v>41</v>
      </c>
      <c r="AO187" s="19">
        <f t="shared" si="113"/>
        <v>42</v>
      </c>
      <c r="AP187" s="19">
        <f t="shared" si="113"/>
        <v>43</v>
      </c>
      <c r="AQ187" s="19">
        <f t="shared" si="113"/>
        <v>44</v>
      </c>
      <c r="AR187" s="19">
        <f t="shared" si="113"/>
        <v>45</v>
      </c>
      <c r="AS187" s="19">
        <f t="shared" ref="AS187" si="114">AT187-1</f>
        <v>46</v>
      </c>
      <c r="AT187" s="19">
        <f>AU187-1</f>
        <v>47</v>
      </c>
      <c r="AU187" s="19">
        <f>VLOOKUP(AU188,Dates!$A:$D,2,FALSE)</f>
        <v>48</v>
      </c>
    </row>
    <row r="188" spans="1:47" x14ac:dyDescent="0.35">
      <c r="A188" s="3"/>
      <c r="B188" s="3"/>
      <c r="C188" s="3"/>
      <c r="D188" s="3"/>
      <c r="E188" s="3"/>
      <c r="F188" s="3"/>
      <c r="G188" s="3"/>
      <c r="H188" s="3"/>
      <c r="I188" s="3"/>
      <c r="J188" s="3"/>
      <c r="K188" s="3"/>
      <c r="L188" s="3"/>
      <c r="M188" s="3"/>
      <c r="N188" s="3"/>
      <c r="O188" s="3"/>
      <c r="P188" s="3"/>
      <c r="Q188" s="3"/>
      <c r="R188" s="3"/>
      <c r="S188" s="3"/>
      <c r="T188" s="3"/>
      <c r="U188" s="3"/>
      <c r="V188" s="3"/>
      <c r="W188" s="3"/>
      <c r="AB188" s="19" t="str">
        <f>IFERROR(VLOOKUP(AB187,Dates!$B:$D,3,FALSE),"")</f>
        <v>1Q19</v>
      </c>
      <c r="AC188" s="19" t="str">
        <f>IFERROR(VLOOKUP(AC187,Dates!$B:$D,3,FALSE),"")</f>
        <v>2Q19</v>
      </c>
      <c r="AD188" s="19" t="str">
        <f>IFERROR(VLOOKUP(AD187,Dates!$B:$D,3,FALSE),"")</f>
        <v>3Q19</v>
      </c>
      <c r="AE188" s="19" t="str">
        <f>IFERROR(VLOOKUP(AE187,Dates!$B:$D,3,FALSE),"")</f>
        <v>4Q19</v>
      </c>
      <c r="AF188" s="19" t="str">
        <f>IFERROR(VLOOKUP(AF187,Dates!$B:$D,3,FALSE),"")</f>
        <v>1Q20</v>
      </c>
      <c r="AG188" s="19" t="str">
        <f>IFERROR(VLOOKUP(AG187,Dates!$B:$D,3,FALSE),"")</f>
        <v>2Q20</v>
      </c>
      <c r="AH188" s="19" t="str">
        <f>IFERROR(VLOOKUP(AH187,Dates!$B:$D,3,FALSE),"")</f>
        <v>3Q20</v>
      </c>
      <c r="AI188" s="19" t="str">
        <f>IFERROR(VLOOKUP(AI187,Dates!$B:$D,3,FALSE),"")</f>
        <v>4Q20</v>
      </c>
      <c r="AJ188" s="19" t="str">
        <f>IFERROR(VLOOKUP(AJ187,Dates!$B:$D,3,FALSE),"")</f>
        <v>1Q21</v>
      </c>
      <c r="AK188" s="19" t="str">
        <f>IFERROR(VLOOKUP(AK187,Dates!$B:$D,3,FALSE),"")</f>
        <v>2Q21</v>
      </c>
      <c r="AL188" s="19" t="str">
        <f>IFERROR(VLOOKUP(AL187,Dates!$B:$D,3,FALSE),"")</f>
        <v>3Q21</v>
      </c>
      <c r="AM188" s="19" t="str">
        <f>IFERROR(VLOOKUP(AM187,Dates!$B:$D,3,FALSE),"")</f>
        <v>4Q21</v>
      </c>
      <c r="AN188" s="19" t="str">
        <f>IFERROR(VLOOKUP(AN187,Dates!$B:$D,3,FALSE),"")</f>
        <v>1Q22</v>
      </c>
      <c r="AO188" s="19" t="str">
        <f>IFERROR(VLOOKUP(AO187,Dates!$B:$D,3,FALSE),"")</f>
        <v>2Q22</v>
      </c>
      <c r="AP188" s="19" t="str">
        <f>IFERROR(VLOOKUP(AP187,Dates!$B:$D,3,FALSE),"")</f>
        <v>3Q22</v>
      </c>
      <c r="AQ188" s="19" t="str">
        <f>IFERROR(VLOOKUP(AQ187,Dates!$B:$D,3,FALSE),"")</f>
        <v>4Q22</v>
      </c>
      <c r="AR188" s="19" t="str">
        <f>IFERROR(VLOOKUP(AR187,Dates!$B:$D,3,FALSE),"")</f>
        <v>1Q23</v>
      </c>
      <c r="AS188" s="19" t="str">
        <f>IFERROR(VLOOKUP(AS187,Dates!$B:$D,3,FALSE),"")</f>
        <v>2Q23</v>
      </c>
      <c r="AT188" s="19" t="str">
        <f>IFERROR(VLOOKUP(AT187,Dates!$B:$D,3,FALSE),"")</f>
        <v>3Q23</v>
      </c>
      <c r="AU188" s="20" t="str">
        <f>$G$3</f>
        <v>4Q23</v>
      </c>
    </row>
    <row r="189" spans="1:47" x14ac:dyDescent="0.35">
      <c r="A189" s="3"/>
      <c r="B189" s="3"/>
      <c r="C189" s="3"/>
      <c r="D189" s="3"/>
      <c r="E189" s="3"/>
      <c r="F189" s="3"/>
      <c r="G189" s="3"/>
      <c r="H189" s="3"/>
      <c r="I189" s="3"/>
      <c r="J189" s="3"/>
      <c r="K189" s="3"/>
      <c r="L189" s="3"/>
      <c r="M189" s="3"/>
      <c r="N189" s="3"/>
      <c r="O189" s="3"/>
      <c r="P189" s="3"/>
      <c r="Q189" s="3"/>
      <c r="R189" s="3"/>
      <c r="S189" s="3"/>
      <c r="T189" s="3"/>
      <c r="U189" s="3"/>
      <c r="V189" s="3"/>
      <c r="W189" s="3"/>
      <c r="AA189" s="21" t="str">
        <f>'Domestic Mobile Operations'!A42</f>
        <v>ARPU growth (% QoQ)</v>
      </c>
      <c r="AB189" s="23">
        <f>IFERROR(INDEX('Domestic Mobile Operations'!$A:$AAU,MATCH($AA189,'Domestic Mobile Operations'!$A:$A,0),MATCH(AB188,'Domestic Mobile Operations'!$1:$1,0)),"")</f>
        <v>0</v>
      </c>
      <c r="AC189" s="23">
        <f>IFERROR(INDEX('Domestic Mobile Operations'!$A:$AAU,MATCH($AA189,'Domestic Mobile Operations'!$A:$A,0),MATCH(AC188,'Domestic Mobile Operations'!$1:$1,0)),"")</f>
        <v>3.0303030303030276E-2</v>
      </c>
      <c r="AD189" s="23">
        <f>IFERROR(INDEX('Domestic Mobile Operations'!$A:$AAU,MATCH($AA189,'Domestic Mobile Operations'!$A:$A,0),MATCH(AD188,'Domestic Mobile Operations'!$1:$1,0)),"")</f>
        <v>2.9411764705882248E-2</v>
      </c>
      <c r="AE189" s="23">
        <f>IFERROR(INDEX('Domestic Mobile Operations'!$A:$AAU,MATCH($AA189,'Domestic Mobile Operations'!$A:$A,0),MATCH(AE188,'Domestic Mobile Operations'!$1:$1,0)),"")</f>
        <v>2.857142857142847E-2</v>
      </c>
      <c r="AF189" s="23">
        <f>IFERROR(INDEX('Domestic Mobile Operations'!$A:$AAU,MATCH($AA189,'Domestic Mobile Operations'!$A:$A,0),MATCH(AF188,'Domestic Mobile Operations'!$1:$1,0)),"")</f>
        <v>0</v>
      </c>
      <c r="AG189" s="23">
        <f>IFERROR(INDEX('Domestic Mobile Operations'!$A:$AAU,MATCH($AA189,'Domestic Mobile Operations'!$A:$A,0),MATCH(AG188,'Domestic Mobile Operations'!$1:$1,0)),"")</f>
        <v>2.7777777777777679E-2</v>
      </c>
      <c r="AH189" s="23">
        <f>IFERROR(INDEX('Domestic Mobile Operations'!$A:$AAU,MATCH($AA189,'Domestic Mobile Operations'!$A:$A,0),MATCH(AH188,'Domestic Mobile Operations'!$1:$1,0)),"")</f>
        <v>-2.7027027027026973E-2</v>
      </c>
      <c r="AI189" s="23">
        <f>IFERROR(INDEX('Domestic Mobile Operations'!$A:$AAU,MATCH($AA189,'Domestic Mobile Operations'!$A:$A,0),MATCH(AI188,'Domestic Mobile Operations'!$1:$1,0)),"")</f>
        <v>-5.555555555555558E-2</v>
      </c>
      <c r="AJ189" s="23">
        <f>IFERROR(INDEX('Domestic Mobile Operations'!$A:$AAU,MATCH($AA189,'Domestic Mobile Operations'!$A:$A,0),MATCH(AJ188,'Domestic Mobile Operations'!$1:$1,0)),"")</f>
        <v>2.9411764705882248E-2</v>
      </c>
      <c r="AK189" s="23">
        <f>IFERROR(INDEX('Domestic Mobile Operations'!$A:$AAU,MATCH($AA189,'Domestic Mobile Operations'!$A:$A,0),MATCH(AK188,'Domestic Mobile Operations'!$1:$1,0)),"")</f>
        <v>5.7142857142857162E-2</v>
      </c>
      <c r="AL189" s="23">
        <f>IFERROR(INDEX('Domestic Mobile Operations'!$A:$AAU,MATCH($AA189,'Domestic Mobile Operations'!$A:$A,0),MATCH(AL188,'Domestic Mobile Operations'!$1:$1,0)),"")</f>
        <v>0</v>
      </c>
      <c r="AM189" s="23">
        <f>IFERROR(INDEX('Domestic Mobile Operations'!$A:$AAU,MATCH($AA189,'Domestic Mobile Operations'!$A:$A,0),MATCH(AM188,'Domestic Mobile Operations'!$1:$1,0)),"")</f>
        <v>0</v>
      </c>
      <c r="AN189" s="23">
        <f>IFERROR(INDEX('Domestic Mobile Operations'!$A:$AAU,MATCH($AA189,'Domestic Mobile Operations'!$A:$A,0),MATCH(AN188,'Domestic Mobile Operations'!$1:$1,0)),"")</f>
        <v>-2.7027027027026973E-2</v>
      </c>
      <c r="AO189" s="23">
        <f>IFERROR(INDEX('Domestic Mobile Operations'!$A:$AAU,MATCH($AA189,'Domestic Mobile Operations'!$A:$A,0),MATCH(AO188,'Domestic Mobile Operations'!$1:$1,0)),"")</f>
        <v>8.3333333333333259E-2</v>
      </c>
      <c r="AP189" s="23">
        <f>IFERROR(INDEX('Domestic Mobile Operations'!$A:$AAU,MATCH($AA189,'Domestic Mobile Operations'!$A:$A,0),MATCH(AP188,'Domestic Mobile Operations'!$1:$1,0)),"")</f>
        <v>2.564102564102555E-2</v>
      </c>
      <c r="AQ189" s="23">
        <f>IFERROR(INDEX('Domestic Mobile Operations'!$A:$AAU,MATCH($AA189,'Domestic Mobile Operations'!$A:$A,0),MATCH(AQ188,'Domestic Mobile Operations'!$1:$1,0)),"")</f>
        <v>0</v>
      </c>
      <c r="AR189" s="23">
        <f>IFERROR(INDEX('Domestic Mobile Operations'!$A:$AAU,MATCH($AA189,'Domestic Mobile Operations'!$A:$A,0),MATCH(AR188,'Domestic Mobile Operations'!$1:$1,0)),"")</f>
        <v>0</v>
      </c>
      <c r="AS189" s="23">
        <f>IFERROR(INDEX('Domestic Mobile Operations'!$A:$AAU,MATCH($AA189,'Domestic Mobile Operations'!$A:$A,0),MATCH(AS188,'Domestic Mobile Operations'!$1:$1,0)),"")</f>
        <v>5.0000000000000044E-2</v>
      </c>
      <c r="AT189" s="23">
        <f>IFERROR(INDEX('Domestic Mobile Operations'!$A:$AAU,MATCH($AA189,'Domestic Mobile Operations'!$A:$A,0),MATCH(AT188,'Domestic Mobile Operations'!$1:$1,0)),"")</f>
        <v>0</v>
      </c>
      <c r="AU189" s="23">
        <f>IFERROR(INDEX('Domestic Mobile Operations'!$A:$AAU,MATCH($AA189,'Domestic Mobile Operations'!$A:$A,0),MATCH(AU188,'Domestic Mobile Operations'!$1:$1,0)),"")</f>
        <v>2.3809523809523725E-2</v>
      </c>
    </row>
    <row r="190" spans="1:47" x14ac:dyDescent="0.35">
      <c r="A190" s="3"/>
      <c r="B190" s="3"/>
      <c r="C190" s="3"/>
      <c r="D190" s="3"/>
      <c r="E190" s="3"/>
      <c r="F190" s="3"/>
      <c r="G190" s="3"/>
      <c r="H190" s="3"/>
      <c r="I190" s="3"/>
      <c r="J190" s="3"/>
      <c r="K190" s="3"/>
      <c r="L190" s="3"/>
      <c r="M190" s="3"/>
      <c r="N190" s="3"/>
      <c r="O190" s="3"/>
      <c r="P190" s="3"/>
      <c r="Q190" s="3"/>
      <c r="R190" s="3"/>
      <c r="S190" s="3"/>
      <c r="T190" s="3"/>
      <c r="U190" s="3"/>
      <c r="V190" s="3"/>
      <c r="W190" s="3"/>
    </row>
    <row r="191" spans="1:47" x14ac:dyDescent="0.35">
      <c r="A191" s="3"/>
      <c r="B191" s="3"/>
      <c r="C191" s="3"/>
      <c r="D191" s="3"/>
      <c r="E191" s="3"/>
      <c r="F191" s="3"/>
      <c r="G191" s="3"/>
      <c r="H191" s="3"/>
      <c r="I191" s="3"/>
      <c r="J191" s="3"/>
      <c r="K191" s="3"/>
      <c r="L191" s="3"/>
      <c r="M191" s="3"/>
      <c r="N191" s="3"/>
      <c r="O191" s="3"/>
      <c r="P191" s="3"/>
      <c r="Q191" s="3"/>
      <c r="R191" s="3"/>
      <c r="S191" s="3"/>
      <c r="T191" s="3"/>
      <c r="U191" s="3"/>
      <c r="V191" s="3"/>
      <c r="W191" s="3"/>
    </row>
    <row r="192" spans="1:47" x14ac:dyDescent="0.35">
      <c r="A192" s="3"/>
      <c r="B192" s="3"/>
      <c r="C192" s="3"/>
      <c r="D192" s="3"/>
      <c r="E192" s="3"/>
      <c r="F192" s="3"/>
      <c r="G192" s="3"/>
      <c r="H192" s="3"/>
      <c r="I192" s="3"/>
      <c r="J192" s="3"/>
      <c r="K192" s="3"/>
      <c r="L192" s="3"/>
      <c r="M192" s="3"/>
      <c r="N192" s="3"/>
      <c r="O192" s="3"/>
      <c r="P192" s="3"/>
      <c r="Q192" s="3"/>
      <c r="R192" s="3"/>
      <c r="S192" s="3"/>
      <c r="T192" s="3"/>
      <c r="U192" s="3"/>
      <c r="V192" s="3"/>
      <c r="W192" s="3"/>
    </row>
    <row r="193" spans="1:47" x14ac:dyDescent="0.35">
      <c r="A193" s="3"/>
      <c r="B193" s="3"/>
      <c r="C193" s="3"/>
      <c r="D193" s="3"/>
      <c r="E193" s="3"/>
      <c r="F193" s="3"/>
      <c r="G193" s="3"/>
      <c r="H193" s="3"/>
      <c r="I193" s="3"/>
      <c r="J193" s="3"/>
      <c r="K193" s="3"/>
      <c r="L193" s="3"/>
      <c r="M193" s="3"/>
      <c r="N193" s="3"/>
      <c r="O193" s="3"/>
      <c r="P193" s="3"/>
      <c r="Q193" s="3"/>
      <c r="R193" s="3"/>
      <c r="S193" s="3"/>
      <c r="T193" s="3"/>
      <c r="U193" s="3"/>
      <c r="V193" s="3"/>
      <c r="W193" s="3"/>
    </row>
    <row r="194" spans="1:47" x14ac:dyDescent="0.35">
      <c r="A194" s="3"/>
      <c r="B194" s="3"/>
      <c r="C194" s="3"/>
      <c r="D194" s="3"/>
      <c r="E194" s="3"/>
      <c r="F194" s="3"/>
      <c r="G194" s="3"/>
      <c r="H194" s="3"/>
      <c r="I194" s="3"/>
      <c r="J194" s="3"/>
      <c r="K194" s="3"/>
      <c r="L194" s="3"/>
      <c r="M194" s="3"/>
      <c r="N194" s="3"/>
      <c r="O194" s="3"/>
      <c r="P194" s="3"/>
      <c r="Q194" s="3"/>
      <c r="R194" s="3"/>
      <c r="S194" s="3"/>
      <c r="T194" s="3"/>
      <c r="U194" s="3"/>
      <c r="V194" s="3"/>
      <c r="W194" s="3"/>
    </row>
    <row r="195" spans="1:47" x14ac:dyDescent="0.35">
      <c r="A195" s="1" t="s">
        <v>32</v>
      </c>
      <c r="B195" s="1" t="s">
        <v>146</v>
      </c>
      <c r="C195" s="1"/>
      <c r="D195" s="1"/>
      <c r="E195" s="1"/>
      <c r="F195" s="1"/>
      <c r="G195" s="1"/>
      <c r="H195" s="1"/>
      <c r="I195" s="1"/>
      <c r="J195" s="1"/>
      <c r="K195" s="1"/>
      <c r="L195" s="1"/>
      <c r="M195" s="1"/>
      <c r="N195" s="1"/>
      <c r="O195" s="1"/>
      <c r="P195" s="1"/>
      <c r="Q195" s="1"/>
      <c r="R195" s="1"/>
      <c r="S195" s="1"/>
      <c r="T195" s="1"/>
      <c r="U195" s="3"/>
      <c r="V195" s="3"/>
      <c r="W195" s="3"/>
    </row>
    <row r="196" spans="1:47" x14ac:dyDescent="0.35">
      <c r="A196" s="3"/>
      <c r="B196" s="3"/>
      <c r="C196" s="3"/>
      <c r="D196" s="3"/>
      <c r="E196" s="3"/>
      <c r="F196" s="3"/>
      <c r="G196" s="3"/>
      <c r="H196" s="3"/>
      <c r="I196" s="3"/>
      <c r="J196" s="3"/>
      <c r="K196" s="3"/>
      <c r="L196" s="3"/>
      <c r="M196" s="3"/>
      <c r="N196" s="3"/>
      <c r="O196" s="3"/>
      <c r="P196" s="3"/>
      <c r="Q196" s="3"/>
      <c r="R196" s="3"/>
      <c r="S196" s="3"/>
      <c r="T196" s="3"/>
      <c r="U196" s="3"/>
      <c r="V196" s="3"/>
      <c r="W196" s="3"/>
    </row>
    <row r="197" spans="1:47" x14ac:dyDescent="0.35">
      <c r="A197" s="3"/>
      <c r="B197" s="3"/>
      <c r="C197" s="3"/>
      <c r="D197" s="3"/>
      <c r="E197" s="3"/>
      <c r="F197" s="3"/>
      <c r="G197" s="3"/>
      <c r="H197" s="3"/>
      <c r="I197" s="3"/>
      <c r="J197" s="3"/>
      <c r="K197" s="3"/>
      <c r="L197" s="3"/>
      <c r="M197" s="3"/>
      <c r="N197" s="3"/>
      <c r="O197" s="3"/>
      <c r="P197" s="3"/>
      <c r="Q197" s="3"/>
      <c r="R197" s="3"/>
      <c r="S197" s="3"/>
      <c r="T197" s="3"/>
      <c r="U197" s="3"/>
      <c r="V197" s="3"/>
      <c r="W197" s="3"/>
    </row>
    <row r="198" spans="1:47" x14ac:dyDescent="0.35">
      <c r="A198" s="3"/>
      <c r="B198" s="3"/>
      <c r="C198" s="3"/>
      <c r="D198" s="3"/>
      <c r="E198" s="3"/>
      <c r="F198" s="3"/>
      <c r="G198" s="3"/>
      <c r="H198" s="3"/>
      <c r="I198" s="3"/>
      <c r="J198" s="3"/>
      <c r="K198" s="3"/>
      <c r="L198" s="3"/>
      <c r="M198" s="3"/>
      <c r="N198" s="3"/>
      <c r="O198" s="3"/>
      <c r="P198" s="3"/>
      <c r="Q198" s="3"/>
      <c r="R198" s="3"/>
      <c r="S198" s="3"/>
      <c r="T198" s="3"/>
      <c r="U198" s="3"/>
      <c r="V198" s="3"/>
      <c r="W198" s="3"/>
    </row>
    <row r="199" spans="1:47" x14ac:dyDescent="0.35">
      <c r="A199" s="3"/>
      <c r="B199" s="3"/>
      <c r="C199" s="3"/>
      <c r="D199" s="3"/>
      <c r="E199" s="3"/>
      <c r="F199" s="3"/>
      <c r="G199" s="3"/>
      <c r="H199" s="3"/>
      <c r="I199" s="3"/>
      <c r="J199" s="3"/>
      <c r="K199" s="3"/>
      <c r="L199" s="3"/>
      <c r="M199" s="3"/>
      <c r="N199" s="3"/>
      <c r="O199" s="3"/>
      <c r="P199" s="3"/>
      <c r="Q199" s="3"/>
      <c r="R199" s="3"/>
      <c r="S199" s="3"/>
      <c r="T199" s="3"/>
      <c r="U199" s="3"/>
      <c r="V199" s="3"/>
      <c r="W199" s="3"/>
    </row>
    <row r="200" spans="1:47" x14ac:dyDescent="0.35">
      <c r="A200" s="3"/>
      <c r="B200" s="3"/>
      <c r="C200" s="3"/>
      <c r="D200" s="3"/>
      <c r="E200" s="3"/>
      <c r="F200" s="3"/>
      <c r="G200" s="3"/>
      <c r="H200" s="3"/>
      <c r="I200" s="3"/>
      <c r="J200" s="3"/>
      <c r="K200" s="3"/>
      <c r="L200" s="3"/>
      <c r="M200" s="3"/>
      <c r="N200" s="3"/>
      <c r="O200" s="3"/>
      <c r="P200" s="3"/>
      <c r="Q200" s="3"/>
      <c r="R200" s="3"/>
      <c r="S200" s="3"/>
      <c r="T200" s="3"/>
      <c r="U200" s="3"/>
      <c r="V200" s="3"/>
      <c r="W200" s="3"/>
      <c r="AB200" s="19">
        <f t="shared" ref="AB200:AR200" si="115">AC200-1</f>
        <v>29</v>
      </c>
      <c r="AC200" s="19">
        <f t="shared" si="115"/>
        <v>30</v>
      </c>
      <c r="AD200" s="19">
        <f t="shared" si="115"/>
        <v>31</v>
      </c>
      <c r="AE200" s="19">
        <f t="shared" si="115"/>
        <v>32</v>
      </c>
      <c r="AF200" s="19">
        <f t="shared" si="115"/>
        <v>33</v>
      </c>
      <c r="AG200" s="19">
        <f t="shared" si="115"/>
        <v>34</v>
      </c>
      <c r="AH200" s="19">
        <f t="shared" si="115"/>
        <v>35</v>
      </c>
      <c r="AI200" s="19">
        <f t="shared" si="115"/>
        <v>36</v>
      </c>
      <c r="AJ200" s="19">
        <f t="shared" si="115"/>
        <v>37</v>
      </c>
      <c r="AK200" s="19">
        <f t="shared" si="115"/>
        <v>38</v>
      </c>
      <c r="AL200" s="19">
        <f t="shared" si="115"/>
        <v>39</v>
      </c>
      <c r="AM200" s="19">
        <f t="shared" si="115"/>
        <v>40</v>
      </c>
      <c r="AN200" s="19">
        <f t="shared" si="115"/>
        <v>41</v>
      </c>
      <c r="AO200" s="19">
        <f t="shared" si="115"/>
        <v>42</v>
      </c>
      <c r="AP200" s="19">
        <f t="shared" si="115"/>
        <v>43</v>
      </c>
      <c r="AQ200" s="19">
        <f t="shared" si="115"/>
        <v>44</v>
      </c>
      <c r="AR200" s="19">
        <f t="shared" si="115"/>
        <v>45</v>
      </c>
      <c r="AS200" s="19">
        <f t="shared" ref="AS200" si="116">AT200-1</f>
        <v>46</v>
      </c>
      <c r="AT200" s="19">
        <f>AU200-1</f>
        <v>47</v>
      </c>
      <c r="AU200" s="19">
        <f>VLOOKUP(AU201,Dates!$A:$D,2,FALSE)</f>
        <v>48</v>
      </c>
    </row>
    <row r="201" spans="1:47" x14ac:dyDescent="0.35">
      <c r="A201" s="3"/>
      <c r="B201" s="3"/>
      <c r="C201" s="3"/>
      <c r="D201" s="3"/>
      <c r="E201" s="3"/>
      <c r="F201" s="3"/>
      <c r="G201" s="3"/>
      <c r="H201" s="3"/>
      <c r="I201" s="3"/>
      <c r="J201" s="3"/>
      <c r="K201" s="3"/>
      <c r="L201" s="3"/>
      <c r="M201" s="3"/>
      <c r="N201" s="3"/>
      <c r="O201" s="3"/>
      <c r="P201" s="3"/>
      <c r="Q201" s="3"/>
      <c r="R201" s="3"/>
      <c r="S201" s="3"/>
      <c r="T201" s="3"/>
      <c r="U201" s="3"/>
      <c r="V201" s="3"/>
      <c r="W201" s="3"/>
      <c r="AB201" s="19" t="str">
        <f>IFERROR(VLOOKUP(AB200,Dates!$B:$D,3,FALSE),"")</f>
        <v>1Q19</v>
      </c>
      <c r="AC201" s="19" t="str">
        <f>IFERROR(VLOOKUP(AC200,Dates!$B:$D,3,FALSE),"")</f>
        <v>2Q19</v>
      </c>
      <c r="AD201" s="19" t="str">
        <f>IFERROR(VLOOKUP(AD200,Dates!$B:$D,3,FALSE),"")</f>
        <v>3Q19</v>
      </c>
      <c r="AE201" s="19" t="str">
        <f>IFERROR(VLOOKUP(AE200,Dates!$B:$D,3,FALSE),"")</f>
        <v>4Q19</v>
      </c>
      <c r="AF201" s="19" t="str">
        <f>IFERROR(VLOOKUP(AF200,Dates!$B:$D,3,FALSE),"")</f>
        <v>1Q20</v>
      </c>
      <c r="AG201" s="19" t="str">
        <f>IFERROR(VLOOKUP(AG200,Dates!$B:$D,3,FALSE),"")</f>
        <v>2Q20</v>
      </c>
      <c r="AH201" s="19" t="str">
        <f>IFERROR(VLOOKUP(AH200,Dates!$B:$D,3,FALSE),"")</f>
        <v>3Q20</v>
      </c>
      <c r="AI201" s="19" t="str">
        <f>IFERROR(VLOOKUP(AI200,Dates!$B:$D,3,FALSE),"")</f>
        <v>4Q20</v>
      </c>
      <c r="AJ201" s="19" t="str">
        <f>IFERROR(VLOOKUP(AJ200,Dates!$B:$D,3,FALSE),"")</f>
        <v>1Q21</v>
      </c>
      <c r="AK201" s="19" t="str">
        <f>IFERROR(VLOOKUP(AK200,Dates!$B:$D,3,FALSE),"")</f>
        <v>2Q21</v>
      </c>
      <c r="AL201" s="19" t="str">
        <f>IFERROR(VLOOKUP(AL200,Dates!$B:$D,3,FALSE),"")</f>
        <v>3Q21</v>
      </c>
      <c r="AM201" s="19" t="str">
        <f>IFERROR(VLOOKUP(AM200,Dates!$B:$D,3,FALSE),"")</f>
        <v>4Q21</v>
      </c>
      <c r="AN201" s="19" t="str">
        <f>IFERROR(VLOOKUP(AN200,Dates!$B:$D,3,FALSE),"")</f>
        <v>1Q22</v>
      </c>
      <c r="AO201" s="19" t="str">
        <f>IFERROR(VLOOKUP(AO200,Dates!$B:$D,3,FALSE),"")</f>
        <v>2Q22</v>
      </c>
      <c r="AP201" s="19" t="str">
        <f>IFERROR(VLOOKUP(AP200,Dates!$B:$D,3,FALSE),"")</f>
        <v>3Q22</v>
      </c>
      <c r="AQ201" s="19" t="str">
        <f>IFERROR(VLOOKUP(AQ200,Dates!$B:$D,3,FALSE),"")</f>
        <v>4Q22</v>
      </c>
      <c r="AR201" s="19" t="str">
        <f>IFERROR(VLOOKUP(AR200,Dates!$B:$D,3,FALSE),"")</f>
        <v>1Q23</v>
      </c>
      <c r="AS201" s="19" t="str">
        <f>IFERROR(VLOOKUP(AS200,Dates!$B:$D,3,FALSE),"")</f>
        <v>2Q23</v>
      </c>
      <c r="AT201" s="19" t="str">
        <f>IFERROR(VLOOKUP(AT200,Dates!$B:$D,3,FALSE),"")</f>
        <v>3Q23</v>
      </c>
      <c r="AU201" s="20" t="str">
        <f>$G$3</f>
        <v>4Q23</v>
      </c>
    </row>
    <row r="202" spans="1:47" x14ac:dyDescent="0.35">
      <c r="A202" s="3"/>
      <c r="B202" s="3"/>
      <c r="C202" s="3"/>
      <c r="D202" s="3"/>
      <c r="E202" s="3"/>
      <c r="F202" s="3"/>
      <c r="G202" s="3"/>
      <c r="H202" s="3"/>
      <c r="I202" s="3"/>
      <c r="J202" s="3"/>
      <c r="K202" s="3"/>
      <c r="L202" s="3"/>
      <c r="M202" s="3"/>
      <c r="N202" s="3"/>
      <c r="O202" s="3"/>
      <c r="P202" s="3"/>
      <c r="Q202" s="3"/>
      <c r="R202" s="3"/>
      <c r="S202" s="3"/>
      <c r="T202" s="3"/>
      <c r="U202" s="3"/>
      <c r="V202" s="3"/>
      <c r="W202" s="3"/>
      <c r="AA202" s="21" t="str">
        <f>'Domestic Mobile Operations'!A47</f>
        <v>Usage per customer</v>
      </c>
      <c r="AB202" s="22">
        <f>IFERROR(INDEX('Domestic Mobile Operations'!$A:$AAU,MATCH($AA202,'Domestic Mobile Operations'!$A:$A,0),MATCH(AB201,'Domestic Mobile Operations'!$1:$1,0)),"")</f>
        <v>4305.454545454545</v>
      </c>
      <c r="AC202" s="22">
        <f>IFERROR(INDEX('Domestic Mobile Operations'!$A:$AAU,MATCH($AA202,'Domestic Mobile Operations'!$A:$A,0),MATCH(AC201,'Domestic Mobile Operations'!$1:$1,0)),"")</f>
        <v>4898.8361683079684</v>
      </c>
      <c r="AD202" s="22">
        <f>IFERROR(INDEX('Domestic Mobile Operations'!$A:$AAU,MATCH($AA202,'Domestic Mobile Operations'!$A:$A,0),MATCH(AD201,'Domestic Mobile Operations'!$1:$1,0)),"")</f>
        <v>5084.1510556051135</v>
      </c>
      <c r="AE202" s="22">
        <f>IFERROR(INDEX('Domestic Mobile Operations'!$A:$AAU,MATCH($AA202,'Domestic Mobile Operations'!$A:$A,0),MATCH(AE201,'Domestic Mobile Operations'!$1:$1,0)),"")</f>
        <v>5551.3963161021993</v>
      </c>
      <c r="AF202" s="22">
        <f>IFERROR(INDEX('Domestic Mobile Operations'!$A:$AAU,MATCH($AA202,'Domestic Mobile Operations'!$A:$A,0),MATCH(AF201,'Domestic Mobile Operations'!$1:$1,0)),"")</f>
        <v>5942.3002644323615</v>
      </c>
      <c r="AG202" s="22">
        <f>IFERROR(INDEX('Domestic Mobile Operations'!$A:$AAU,MATCH($AA202,'Domestic Mobile Operations'!$A:$A,0),MATCH(AG201,'Domestic Mobile Operations'!$1:$1,0)),"")</f>
        <v>7322.7779776898169</v>
      </c>
      <c r="AH202" s="22">
        <f>IFERROR(INDEX('Domestic Mobile Operations'!$A:$AAU,MATCH($AA202,'Domestic Mobile Operations'!$A:$A,0),MATCH(AH201,'Domestic Mobile Operations'!$1:$1,0)),"")</f>
        <v>7552.1990226565977</v>
      </c>
      <c r="AI202" s="22">
        <f>IFERROR(INDEX('Domestic Mobile Operations'!$A:$AAU,MATCH($AA202,'Domestic Mobile Operations'!$A:$A,0),MATCH(AI201,'Domestic Mobile Operations'!$1:$1,0)),"")</f>
        <v>7992.7971885800589</v>
      </c>
      <c r="AJ202" s="22">
        <f>IFERROR(INDEX('Domestic Mobile Operations'!$A:$AAU,MATCH($AA202,'Domestic Mobile Operations'!$A:$A,0),MATCH(AJ201,'Domestic Mobile Operations'!$1:$1,0)),"")</f>
        <v>8141.6447175885287</v>
      </c>
      <c r="AK202" s="22">
        <f>IFERROR(INDEX('Domestic Mobile Operations'!$A:$AAU,MATCH($AA202,'Domestic Mobile Operations'!$A:$A,0),MATCH(AK201,'Domestic Mobile Operations'!$1:$1,0)),"")</f>
        <v>9292.4277354140813</v>
      </c>
      <c r="AL202" s="22">
        <f>IFERROR(INDEX('Domestic Mobile Operations'!$A:$AAU,MATCH($AA202,'Domestic Mobile Operations'!$A:$A,0),MATCH(AL201,'Domestic Mobile Operations'!$1:$1,0)),"")</f>
        <v>10004.357298474946</v>
      </c>
      <c r="AM202" s="22">
        <f>IFERROR(INDEX('Domestic Mobile Operations'!$A:$AAU,MATCH($AA202,'Domestic Mobile Operations'!$A:$A,0),MATCH(AM201,'Domestic Mobile Operations'!$1:$1,0)),"")</f>
        <v>10728.564443293928</v>
      </c>
      <c r="AN202" s="22">
        <f>IFERROR(INDEX('Domestic Mobile Operations'!$A:$AAU,MATCH($AA202,'Domestic Mobile Operations'!$A:$A,0),MATCH(AN201,'Domestic Mobile Operations'!$1:$1,0)),"")</f>
        <v>10773.648942650771</v>
      </c>
      <c r="AO202" s="22">
        <f>IFERROR(INDEX('Domestic Mobile Operations'!$A:$AAU,MATCH($AA202,'Domestic Mobile Operations'!$A:$A,0),MATCH(AO201,'Domestic Mobile Operations'!$1:$1,0)),"")</f>
        <v>11573.141906679506</v>
      </c>
      <c r="AP202" s="22">
        <f>IFERROR(INDEX('Domestic Mobile Operations'!$A:$AAU,MATCH($AA202,'Domestic Mobile Operations'!$A:$A,0),MATCH(AP201,'Domestic Mobile Operations'!$1:$1,0)),"")</f>
        <v>11899.153799179971</v>
      </c>
      <c r="AQ202" s="22">
        <f>IFERROR(INDEX('Domestic Mobile Operations'!$A:$AAU,MATCH($AA202,'Domestic Mobile Operations'!$A:$A,0),MATCH(AQ201,'Domestic Mobile Operations'!$1:$1,0)),"")</f>
        <v>12219.321148825065</v>
      </c>
      <c r="AR202" s="22">
        <f>IFERROR(INDEX('Domestic Mobile Operations'!$A:$AAU,MATCH($AA202,'Domestic Mobile Operations'!$A:$A,0),MATCH(AR201,'Domestic Mobile Operations'!$1:$1,0)),"")</f>
        <v>12732.524552281917</v>
      </c>
      <c r="AS202" s="22">
        <f>IFERROR(INDEX('Domestic Mobile Operations'!$A:$AAU,MATCH($AA202,'Domestic Mobile Operations'!$A:$A,0),MATCH(AS201,'Domestic Mobile Operations'!$1:$1,0)),"")</f>
        <v>14104.112740868564</v>
      </c>
      <c r="AT202" s="22">
        <f>IFERROR(INDEX('Domestic Mobile Operations'!$A:$AAU,MATCH($AA202,'Domestic Mobile Operations'!$A:$A,0),MATCH(AT201,'Domestic Mobile Operations'!$1:$1,0)),"")</f>
        <v>14158.730158730157</v>
      </c>
      <c r="AU202" s="22">
        <f>IFERROR(INDEX('Domestic Mobile Operations'!$A:$AAU,MATCH($AA202,'Domestic Mobile Operations'!$A:$A,0),MATCH(AU201,'Domestic Mobile Operations'!$1:$1,0)),"")</f>
        <v>14660.869565217392</v>
      </c>
    </row>
    <row r="203" spans="1:47" x14ac:dyDescent="0.35">
      <c r="A203" s="3"/>
      <c r="B203" s="3"/>
      <c r="C203" s="3"/>
      <c r="D203" s="3"/>
      <c r="E203" s="3"/>
      <c r="F203" s="3"/>
      <c r="G203" s="3"/>
      <c r="H203" s="3"/>
      <c r="I203" s="3"/>
      <c r="J203" s="3"/>
      <c r="K203" s="3"/>
      <c r="L203" s="3"/>
      <c r="M203" s="3"/>
      <c r="N203" s="3"/>
      <c r="O203" s="3"/>
      <c r="P203" s="3"/>
      <c r="Q203" s="3"/>
      <c r="R203" s="3"/>
      <c r="S203" s="3"/>
      <c r="T203" s="3"/>
      <c r="U203" s="3"/>
      <c r="V203" s="3"/>
      <c r="W203" s="3"/>
    </row>
    <row r="204" spans="1:47" x14ac:dyDescent="0.35">
      <c r="A204" s="3"/>
      <c r="B204" s="3"/>
      <c r="C204" s="3"/>
      <c r="D204" s="3"/>
      <c r="E204" s="3"/>
      <c r="F204" s="3"/>
      <c r="G204" s="3"/>
      <c r="H204" s="3"/>
      <c r="I204" s="3"/>
      <c r="J204" s="3"/>
      <c r="K204" s="3"/>
      <c r="L204" s="3"/>
      <c r="M204" s="3"/>
      <c r="N204" s="3"/>
      <c r="O204" s="3"/>
      <c r="P204" s="3"/>
      <c r="Q204" s="3"/>
      <c r="R204" s="3"/>
      <c r="S204" s="3"/>
      <c r="T204" s="3"/>
      <c r="U204" s="3"/>
      <c r="V204" s="3"/>
      <c r="W204" s="3"/>
    </row>
    <row r="205" spans="1:47" x14ac:dyDescent="0.35">
      <c r="A205" s="3"/>
      <c r="B205" s="3"/>
      <c r="C205" s="3"/>
      <c r="D205" s="3"/>
      <c r="E205" s="3"/>
      <c r="F205" s="3"/>
      <c r="G205" s="3"/>
      <c r="H205" s="3"/>
      <c r="I205" s="3"/>
      <c r="J205" s="3"/>
      <c r="K205" s="3"/>
      <c r="L205" s="3"/>
      <c r="M205" s="3"/>
      <c r="N205" s="3"/>
      <c r="O205" s="3"/>
      <c r="P205" s="3"/>
      <c r="Q205" s="3"/>
      <c r="R205" s="3"/>
      <c r="S205" s="3"/>
      <c r="T205" s="3"/>
      <c r="U205" s="3"/>
      <c r="V205" s="3"/>
      <c r="W205" s="3"/>
    </row>
    <row r="206" spans="1:47" x14ac:dyDescent="0.35">
      <c r="A206" s="3"/>
      <c r="B206" s="3"/>
      <c r="C206" s="3"/>
      <c r="D206" s="3"/>
      <c r="E206" s="3"/>
      <c r="F206" s="3"/>
      <c r="G206" s="3"/>
      <c r="H206" s="3"/>
      <c r="I206" s="3"/>
      <c r="J206" s="3"/>
      <c r="K206" s="3"/>
      <c r="L206" s="3"/>
      <c r="M206" s="3"/>
      <c r="N206" s="3"/>
      <c r="O206" s="3"/>
      <c r="P206" s="3"/>
      <c r="Q206" s="3"/>
      <c r="R206" s="3"/>
      <c r="S206" s="3"/>
      <c r="T206" s="3"/>
      <c r="U206" s="3"/>
      <c r="V206" s="3"/>
      <c r="W206" s="3"/>
    </row>
    <row r="207" spans="1:47" x14ac:dyDescent="0.35">
      <c r="A207" s="3"/>
      <c r="B207" s="3"/>
      <c r="C207" s="3"/>
      <c r="D207" s="3"/>
      <c r="E207" s="3"/>
      <c r="F207" s="3"/>
      <c r="G207" s="3"/>
      <c r="H207" s="3"/>
      <c r="I207" s="3"/>
      <c r="J207" s="3"/>
      <c r="K207" s="3"/>
      <c r="L207" s="3"/>
      <c r="M207" s="3"/>
      <c r="N207" s="3"/>
      <c r="O207" s="3"/>
      <c r="P207" s="3"/>
      <c r="Q207" s="3"/>
      <c r="R207" s="3"/>
      <c r="S207" s="3"/>
      <c r="T207" s="3"/>
      <c r="U207" s="3"/>
      <c r="V207" s="3"/>
      <c r="W207" s="3"/>
    </row>
    <row r="208" spans="1:47" x14ac:dyDescent="0.35">
      <c r="A208" s="3"/>
      <c r="B208" s="3"/>
      <c r="C208" s="3"/>
      <c r="D208" s="3"/>
      <c r="E208" s="3"/>
      <c r="F208" s="3"/>
      <c r="G208" s="3"/>
      <c r="H208" s="3"/>
      <c r="I208" s="3"/>
      <c r="J208" s="3"/>
      <c r="K208" s="3"/>
      <c r="L208" s="3"/>
      <c r="M208" s="3"/>
      <c r="N208" s="3"/>
      <c r="O208" s="3"/>
      <c r="P208" s="3"/>
      <c r="Q208" s="3"/>
      <c r="R208" s="3"/>
      <c r="S208" s="3"/>
      <c r="T208" s="3"/>
      <c r="U208" s="3"/>
      <c r="V208" s="3"/>
      <c r="W208" s="3"/>
    </row>
    <row r="209" spans="1:47" x14ac:dyDescent="0.35">
      <c r="A209" s="3"/>
      <c r="B209" s="3"/>
      <c r="C209" s="3"/>
      <c r="D209" s="3"/>
      <c r="E209" s="3"/>
      <c r="F209" s="3"/>
      <c r="G209" s="3"/>
      <c r="H209" s="3"/>
      <c r="I209" s="3"/>
      <c r="J209" s="3"/>
      <c r="K209" s="3"/>
      <c r="L209" s="3"/>
      <c r="M209" s="3"/>
      <c r="N209" s="3"/>
      <c r="O209" s="3"/>
      <c r="P209" s="3"/>
      <c r="Q209" s="3"/>
      <c r="R209" s="3"/>
      <c r="S209" s="3"/>
      <c r="T209" s="3"/>
      <c r="U209" s="3"/>
      <c r="V209" s="3"/>
      <c r="W209" s="3"/>
    </row>
    <row r="210" spans="1:47" x14ac:dyDescent="0.35">
      <c r="A210" s="3" t="s">
        <v>172</v>
      </c>
      <c r="B210" s="3" t="s">
        <v>192</v>
      </c>
      <c r="C210" s="3"/>
      <c r="D210" s="3"/>
      <c r="E210" s="3"/>
      <c r="F210" s="3"/>
      <c r="G210" s="3"/>
      <c r="H210" s="3"/>
      <c r="I210" s="3"/>
      <c r="J210" s="3"/>
      <c r="K210" s="3"/>
      <c r="L210" s="3"/>
      <c r="M210" s="3"/>
      <c r="N210" s="3"/>
      <c r="O210" s="3"/>
      <c r="P210" s="3"/>
      <c r="Q210" s="3"/>
      <c r="R210" s="3"/>
      <c r="S210" s="3"/>
      <c r="T210" s="3"/>
      <c r="U210" s="3"/>
      <c r="V210" s="3"/>
      <c r="W210" s="3"/>
    </row>
    <row r="211" spans="1:47" x14ac:dyDescent="0.35">
      <c r="A211" s="3"/>
      <c r="B211" s="3" t="s">
        <v>174</v>
      </c>
      <c r="C211" s="3"/>
      <c r="D211" s="3"/>
      <c r="E211" s="3"/>
      <c r="F211" s="3"/>
      <c r="G211" s="3"/>
      <c r="H211" s="3"/>
      <c r="I211" s="3"/>
      <c r="J211" s="3"/>
      <c r="K211" s="3"/>
      <c r="L211" s="3"/>
      <c r="M211" s="3"/>
      <c r="N211" s="3"/>
      <c r="O211" s="3"/>
      <c r="P211" s="3"/>
      <c r="Q211" s="3"/>
      <c r="R211" s="3"/>
      <c r="S211" s="3"/>
      <c r="T211" s="3"/>
      <c r="U211" s="3"/>
      <c r="V211" s="3"/>
      <c r="W211" s="3"/>
    </row>
    <row r="212" spans="1:47" x14ac:dyDescent="0.35">
      <c r="A212" s="3"/>
      <c r="B212" s="3"/>
      <c r="C212" s="3"/>
      <c r="D212" s="3"/>
      <c r="E212" s="3"/>
      <c r="F212" s="3"/>
      <c r="G212" s="3"/>
      <c r="H212" s="3"/>
      <c r="I212" s="3"/>
      <c r="J212" s="3"/>
      <c r="K212" s="3"/>
      <c r="L212" s="3"/>
      <c r="M212" s="3"/>
      <c r="N212" s="3"/>
      <c r="O212" s="3"/>
      <c r="P212" s="3"/>
      <c r="Q212" s="3"/>
      <c r="R212" s="3"/>
      <c r="S212" s="3"/>
      <c r="T212" s="3"/>
      <c r="U212" s="3"/>
      <c r="V212" s="3"/>
      <c r="W212" s="3"/>
    </row>
    <row r="213" spans="1:47" x14ac:dyDescent="0.35">
      <c r="A213" s="1" t="s">
        <v>140</v>
      </c>
      <c r="B213" s="1"/>
      <c r="C213" s="1"/>
      <c r="D213" s="1"/>
      <c r="E213" s="1"/>
      <c r="F213" s="1"/>
      <c r="G213" s="1"/>
      <c r="H213" s="1"/>
      <c r="I213" s="1"/>
      <c r="J213" s="1"/>
      <c r="K213" s="1"/>
      <c r="L213" s="1"/>
      <c r="M213" s="1"/>
      <c r="N213" s="1"/>
      <c r="O213" s="1"/>
      <c r="P213" s="1"/>
      <c r="Q213" s="1"/>
      <c r="R213" s="1"/>
      <c r="S213" s="1"/>
      <c r="T213" s="1"/>
      <c r="U213" s="3"/>
      <c r="V213" s="3"/>
      <c r="W213" s="3"/>
    </row>
    <row r="214" spans="1:47" x14ac:dyDescent="0.35">
      <c r="A214" s="1" t="s">
        <v>26</v>
      </c>
      <c r="B214" s="1" t="s">
        <v>141</v>
      </c>
      <c r="C214" s="1"/>
      <c r="D214" s="1"/>
      <c r="E214" s="1"/>
      <c r="F214" s="1"/>
      <c r="G214" s="1"/>
      <c r="H214" s="1"/>
      <c r="I214" s="1"/>
      <c r="J214" s="1"/>
      <c r="K214" s="1"/>
      <c r="L214" s="1"/>
      <c r="M214" s="1"/>
      <c r="N214" s="1"/>
      <c r="O214" s="1"/>
      <c r="P214" s="1"/>
      <c r="Q214" s="1"/>
      <c r="R214" s="1"/>
      <c r="S214" s="1"/>
      <c r="T214" s="1"/>
      <c r="U214" s="3"/>
      <c r="V214" s="3"/>
      <c r="W214" s="3"/>
    </row>
    <row r="215" spans="1:47" x14ac:dyDescent="0.35">
      <c r="A215" s="3"/>
      <c r="B215" s="3"/>
      <c r="C215" s="3"/>
      <c r="D215" s="3"/>
      <c r="E215" s="3"/>
      <c r="F215" s="3"/>
      <c r="G215" s="3"/>
      <c r="H215" s="3"/>
      <c r="I215" s="3"/>
      <c r="J215" s="3"/>
      <c r="K215" s="3"/>
      <c r="L215" s="3"/>
      <c r="M215" s="3"/>
      <c r="N215" s="3"/>
      <c r="O215" s="3"/>
      <c r="P215" s="3"/>
      <c r="Q215" s="3"/>
      <c r="R215" s="3"/>
      <c r="S215" s="3"/>
      <c r="T215" s="3"/>
      <c r="U215" s="3"/>
      <c r="V215" s="3"/>
      <c r="W215" s="3"/>
    </row>
    <row r="216" spans="1:47" x14ac:dyDescent="0.35">
      <c r="A216" s="3"/>
      <c r="B216" s="3"/>
      <c r="C216" s="3"/>
      <c r="D216" s="3"/>
      <c r="E216" s="3"/>
      <c r="F216" s="3"/>
      <c r="G216" s="3"/>
      <c r="H216" s="3"/>
      <c r="I216" s="3"/>
      <c r="J216" s="3"/>
      <c r="K216" s="3"/>
      <c r="L216" s="3"/>
      <c r="M216" s="3"/>
      <c r="N216" s="3"/>
      <c r="O216" s="3"/>
      <c r="P216" s="3"/>
      <c r="Q216" s="3"/>
      <c r="R216" s="3"/>
      <c r="S216" s="3"/>
      <c r="T216" s="3"/>
      <c r="U216" s="3"/>
      <c r="V216" s="3"/>
      <c r="W216" s="3"/>
    </row>
    <row r="217" spans="1:47" x14ac:dyDescent="0.35">
      <c r="A217" s="3"/>
      <c r="B217" s="3"/>
      <c r="C217" s="3"/>
      <c r="D217" s="3"/>
      <c r="E217" s="3"/>
      <c r="F217" s="3"/>
      <c r="G217" s="3"/>
      <c r="H217" s="3"/>
      <c r="I217" s="3"/>
      <c r="J217" s="3"/>
      <c r="K217" s="3"/>
      <c r="L217" s="3"/>
      <c r="M217" s="3"/>
      <c r="N217" s="3"/>
      <c r="O217" s="3"/>
      <c r="P217" s="3"/>
      <c r="Q217" s="3"/>
      <c r="R217" s="3"/>
      <c r="S217" s="3"/>
      <c r="T217" s="3"/>
      <c r="U217" s="3"/>
      <c r="V217" s="3"/>
      <c r="W217" s="3"/>
      <c r="AB217" s="19">
        <f t="shared" ref="AB217:AR217" si="117">AC217-1</f>
        <v>29</v>
      </c>
      <c r="AC217" s="19">
        <f t="shared" si="117"/>
        <v>30</v>
      </c>
      <c r="AD217" s="19">
        <f t="shared" si="117"/>
        <v>31</v>
      </c>
      <c r="AE217" s="19">
        <f t="shared" si="117"/>
        <v>32</v>
      </c>
      <c r="AF217" s="19">
        <f t="shared" si="117"/>
        <v>33</v>
      </c>
      <c r="AG217" s="19">
        <f t="shared" si="117"/>
        <v>34</v>
      </c>
      <c r="AH217" s="19">
        <f t="shared" si="117"/>
        <v>35</v>
      </c>
      <c r="AI217" s="19">
        <f t="shared" si="117"/>
        <v>36</v>
      </c>
      <c r="AJ217" s="19">
        <f t="shared" si="117"/>
        <v>37</v>
      </c>
      <c r="AK217" s="19">
        <f t="shared" si="117"/>
        <v>38</v>
      </c>
      <c r="AL217" s="19">
        <f t="shared" si="117"/>
        <v>39</v>
      </c>
      <c r="AM217" s="19">
        <f t="shared" si="117"/>
        <v>40</v>
      </c>
      <c r="AN217" s="19">
        <f t="shared" si="117"/>
        <v>41</v>
      </c>
      <c r="AO217" s="19">
        <f t="shared" si="117"/>
        <v>42</v>
      </c>
      <c r="AP217" s="19">
        <f t="shared" si="117"/>
        <v>43</v>
      </c>
      <c r="AQ217" s="19">
        <f t="shared" si="117"/>
        <v>44</v>
      </c>
      <c r="AR217" s="19">
        <f t="shared" si="117"/>
        <v>45</v>
      </c>
      <c r="AS217" s="19">
        <f t="shared" ref="AS217" si="118">AT217-1</f>
        <v>46</v>
      </c>
      <c r="AT217" s="19">
        <f>AU217-1</f>
        <v>47</v>
      </c>
      <c r="AU217" s="19">
        <f>VLOOKUP(AU218,Dates!$A:$D,2,FALSE)</f>
        <v>48</v>
      </c>
    </row>
    <row r="218" spans="1:47" x14ac:dyDescent="0.35">
      <c r="A218" s="3"/>
      <c r="B218" s="3"/>
      <c r="C218" s="3"/>
      <c r="D218" s="3"/>
      <c r="E218" s="3"/>
      <c r="F218" s="3"/>
      <c r="G218" s="3"/>
      <c r="H218" s="3"/>
      <c r="I218" s="3"/>
      <c r="J218" s="3"/>
      <c r="K218" s="3"/>
      <c r="L218" s="3"/>
      <c r="M218" s="3"/>
      <c r="N218" s="3"/>
      <c r="O218" s="3"/>
      <c r="P218" s="3"/>
      <c r="Q218" s="3"/>
      <c r="R218" s="3"/>
      <c r="S218" s="3"/>
      <c r="T218" s="3"/>
      <c r="U218" s="3"/>
      <c r="V218" s="3"/>
      <c r="W218" s="3"/>
      <c r="AB218" s="19" t="str">
        <f>IFERROR(VLOOKUP(AB217,Dates!$B:$D,3,FALSE),"")</f>
        <v>1Q19</v>
      </c>
      <c r="AC218" s="19" t="str">
        <f>IFERROR(VLOOKUP(AC217,Dates!$B:$D,3,FALSE),"")</f>
        <v>2Q19</v>
      </c>
      <c r="AD218" s="19" t="str">
        <f>IFERROR(VLOOKUP(AD217,Dates!$B:$D,3,FALSE),"")</f>
        <v>3Q19</v>
      </c>
      <c r="AE218" s="19" t="str">
        <f>IFERROR(VLOOKUP(AE217,Dates!$B:$D,3,FALSE),"")</f>
        <v>4Q19</v>
      </c>
      <c r="AF218" s="19" t="str">
        <f>IFERROR(VLOOKUP(AF217,Dates!$B:$D,3,FALSE),"")</f>
        <v>1Q20</v>
      </c>
      <c r="AG218" s="19" t="str">
        <f>IFERROR(VLOOKUP(AG217,Dates!$B:$D,3,FALSE),"")</f>
        <v>2Q20</v>
      </c>
      <c r="AH218" s="19" t="str">
        <f>IFERROR(VLOOKUP(AH217,Dates!$B:$D,3,FALSE),"")</f>
        <v>3Q20</v>
      </c>
      <c r="AI218" s="19" t="str">
        <f>IFERROR(VLOOKUP(AI217,Dates!$B:$D,3,FALSE),"")</f>
        <v>4Q20</v>
      </c>
      <c r="AJ218" s="19" t="str">
        <f>IFERROR(VLOOKUP(AJ217,Dates!$B:$D,3,FALSE),"")</f>
        <v>1Q21</v>
      </c>
      <c r="AK218" s="19" t="str">
        <f>IFERROR(VLOOKUP(AK217,Dates!$B:$D,3,FALSE),"")</f>
        <v>2Q21</v>
      </c>
      <c r="AL218" s="19" t="str">
        <f>IFERROR(VLOOKUP(AL217,Dates!$B:$D,3,FALSE),"")</f>
        <v>3Q21</v>
      </c>
      <c r="AM218" s="19" t="str">
        <f>IFERROR(VLOOKUP(AM217,Dates!$B:$D,3,FALSE),"")</f>
        <v>4Q21</v>
      </c>
      <c r="AN218" s="19" t="str">
        <f>IFERROR(VLOOKUP(AN217,Dates!$B:$D,3,FALSE),"")</f>
        <v>1Q22</v>
      </c>
      <c r="AO218" s="19" t="str">
        <f>IFERROR(VLOOKUP(AO217,Dates!$B:$D,3,FALSE),"")</f>
        <v>2Q22</v>
      </c>
      <c r="AP218" s="19" t="str">
        <f>IFERROR(VLOOKUP(AP217,Dates!$B:$D,3,FALSE),"")</f>
        <v>3Q22</v>
      </c>
      <c r="AQ218" s="19" t="str">
        <f>IFERROR(VLOOKUP(AQ217,Dates!$B:$D,3,FALSE),"")</f>
        <v>4Q22</v>
      </c>
      <c r="AR218" s="19" t="str">
        <f>IFERROR(VLOOKUP(AR217,Dates!$B:$D,3,FALSE),"")</f>
        <v>1Q23</v>
      </c>
      <c r="AS218" s="19" t="str">
        <f>IFERROR(VLOOKUP(AS217,Dates!$B:$D,3,FALSE),"")</f>
        <v>2Q23</v>
      </c>
      <c r="AT218" s="19" t="str">
        <f>IFERROR(VLOOKUP(AT217,Dates!$B:$D,3,FALSE),"")</f>
        <v>3Q23</v>
      </c>
      <c r="AU218" s="20" t="str">
        <f>$G$3</f>
        <v>4Q23</v>
      </c>
    </row>
    <row r="219" spans="1:47" x14ac:dyDescent="0.35">
      <c r="A219" s="3"/>
      <c r="B219" s="3"/>
      <c r="C219" s="3"/>
      <c r="D219" s="3"/>
      <c r="E219" s="3"/>
      <c r="F219" s="3"/>
      <c r="G219" s="3"/>
      <c r="H219" s="3"/>
      <c r="I219" s="3"/>
      <c r="J219" s="3"/>
      <c r="K219" s="3"/>
      <c r="L219" s="3"/>
      <c r="M219" s="3"/>
      <c r="N219" s="3"/>
      <c r="O219" s="3"/>
      <c r="P219" s="3"/>
      <c r="Q219" s="3"/>
      <c r="R219" s="3"/>
      <c r="S219" s="3"/>
      <c r="T219" s="3"/>
      <c r="U219" s="3"/>
      <c r="V219" s="3"/>
      <c r="W219" s="3"/>
      <c r="AA219" s="21" t="str">
        <f>'Reported Group Balance Sheet'!A63</f>
        <v>Net Debt/ EBITDA (LQA)</v>
      </c>
      <c r="AB219" s="24">
        <f>IFERROR(INDEX('Reported Group Balance Sheet'!$A:$AAT,MATCH($AA219,'Reported Group Balance Sheet'!$A:$A,0),MATCH(AB218,'Reported Group Balance Sheet'!$1:$1,0)),"")</f>
        <v>1.3424747696358053</v>
      </c>
      <c r="AC219" s="24">
        <f>IFERROR(INDEX('Reported Group Balance Sheet'!$A:$AAT,MATCH($AA219,'Reported Group Balance Sheet'!$A:$A,0),MATCH(AC218,'Reported Group Balance Sheet'!$1:$1,0)),"")</f>
        <v>1.1463982193443949</v>
      </c>
      <c r="AD219" s="24">
        <f>IFERROR(INDEX('Reported Group Balance Sheet'!$A:$AAT,MATCH($AA219,'Reported Group Balance Sheet'!$A:$A,0),MATCH(AD218,'Reported Group Balance Sheet'!$1:$1,0)),"")</f>
        <v>1.140433282208589</v>
      </c>
      <c r="AE219" s="24">
        <f>IFERROR(INDEX('Reported Group Balance Sheet'!$A:$AAT,MATCH($AA219,'Reported Group Balance Sheet'!$A:$A,0),MATCH(AE218,'Reported Group Balance Sheet'!$1:$1,0)),"")</f>
        <v>1.0742906441717792</v>
      </c>
      <c r="AF219" s="24">
        <f>IFERROR(INDEX('Reported Group Balance Sheet'!$A:$AAT,MATCH($AA219,'Reported Group Balance Sheet'!$A:$A,0),MATCH(AF218,'Reported Group Balance Sheet'!$1:$1,0)),"")</f>
        <v>2.166546403894472</v>
      </c>
      <c r="AG219" s="24">
        <f>IFERROR(INDEX('Reported Group Balance Sheet'!$A:$AAT,MATCH($AA219,'Reported Group Balance Sheet'!$A:$A,0),MATCH(AG218,'Reported Group Balance Sheet'!$1:$1,0)),"")</f>
        <v>2.1290917271627348</v>
      </c>
      <c r="AH219" s="24">
        <f>IFERROR(INDEX('Reported Group Balance Sheet'!$A:$AAT,MATCH($AA219,'Reported Group Balance Sheet'!$A:$A,0),MATCH(AH218,'Reported Group Balance Sheet'!$1:$1,0)),"")</f>
        <v>2.1109066813509543</v>
      </c>
      <c r="AI219" s="24">
        <f>IFERROR(INDEX('Reported Group Balance Sheet'!$A:$AAT,MATCH($AA219,'Reported Group Balance Sheet'!$A:$A,0),MATCH(AI218,'Reported Group Balance Sheet'!$1:$1,0)),"")</f>
        <v>2.4219691943127968</v>
      </c>
      <c r="AJ219" s="24">
        <f>IFERROR(INDEX('Reported Group Balance Sheet'!$A:$AAT,MATCH($AA219,'Reported Group Balance Sheet'!$A:$A,0),MATCH(AJ218,'Reported Group Balance Sheet'!$1:$1,0)),"")</f>
        <v>2.4632093619749922</v>
      </c>
      <c r="AK219" s="24">
        <f>IFERROR(INDEX('Reported Group Balance Sheet'!$A:$AAT,MATCH($AA219,'Reported Group Balance Sheet'!$A:$A,0),MATCH(AK218,'Reported Group Balance Sheet'!$1:$1,0)),"")</f>
        <v>2.3437471059661621</v>
      </c>
      <c r="AL219" s="24">
        <f>IFERROR(INDEX('Reported Group Balance Sheet'!$A:$AAT,MATCH($AA219,'Reported Group Balance Sheet'!$A:$A,0),MATCH(AL218,'Reported Group Balance Sheet'!$1:$1,0)),"")</f>
        <v>2.2628982592159161</v>
      </c>
      <c r="AM219" s="24">
        <f>IFERROR(INDEX('Reported Group Balance Sheet'!$A:$AAT,MATCH($AA219,'Reported Group Balance Sheet'!$A:$A,0),MATCH(AM218,'Reported Group Balance Sheet'!$1:$1,0)),"")</f>
        <v>2.5</v>
      </c>
      <c r="AN219" s="24">
        <f>IFERROR(INDEX('Reported Group Balance Sheet'!$A:$AAT,MATCH($AA219,'Reported Group Balance Sheet'!$A:$A,0),MATCH(AN218,'Reported Group Balance Sheet'!$1:$1,0)),"")</f>
        <v>2.7</v>
      </c>
      <c r="AO219" s="24">
        <f>IFERROR(INDEX('Reported Group Balance Sheet'!$A:$AAT,MATCH($AA219,'Reported Group Balance Sheet'!$A:$A,0),MATCH(AO218,'Reported Group Balance Sheet'!$1:$1,0)),"")</f>
        <v>2.8</v>
      </c>
      <c r="AP219" s="24">
        <f>IFERROR(INDEX('Reported Group Balance Sheet'!$A:$AAT,MATCH($AA219,'Reported Group Balance Sheet'!$A:$A,0),MATCH(AP218,'Reported Group Balance Sheet'!$1:$1,0)),"")</f>
        <v>2.6425518116936595</v>
      </c>
      <c r="AQ219" s="24">
        <f>IFERROR(INDEX('Reported Group Balance Sheet'!$A:$AAT,MATCH($AA219,'Reported Group Balance Sheet'!$A:$A,0),MATCH(AQ218,'Reported Group Balance Sheet'!$1:$1,0)),"")</f>
        <v>2.5023881544841893</v>
      </c>
      <c r="AR219" s="24">
        <f>IFERROR(INDEX('Reported Group Balance Sheet'!$A:$AAT,MATCH($AA219,'Reported Group Balance Sheet'!$A:$A,0),MATCH(AR218,'Reported Group Balance Sheet'!$1:$1,0)),"")</f>
        <v>2.7231034747418366</v>
      </c>
      <c r="AS219" s="24">
        <f>IFERROR(INDEX('Reported Group Balance Sheet'!$A:$AAT,MATCH($AA219,'Reported Group Balance Sheet'!$A:$A,0),MATCH(AS218,'Reported Group Balance Sheet'!$1:$1,0)),"")</f>
        <v>2.67</v>
      </c>
      <c r="AT219" s="24">
        <f>IFERROR(INDEX('Reported Group Balance Sheet'!$A:$AAT,MATCH($AA219,'Reported Group Balance Sheet'!$A:$A,0),MATCH(AT218,'Reported Group Balance Sheet'!$1:$1,0)),"")</f>
        <v>2.5788450524006827</v>
      </c>
      <c r="AU219" s="24">
        <f>IFERROR(INDEX('Reported Group Balance Sheet'!$A:$AAT,MATCH($AA219,'Reported Group Balance Sheet'!$A:$A,0),MATCH(AU218,'Reported Group Balance Sheet'!$1:$1,0)),"")</f>
        <v>2.5997329297820824</v>
      </c>
    </row>
    <row r="220" spans="1:47" x14ac:dyDescent="0.35">
      <c r="A220" s="3"/>
      <c r="B220" s="3"/>
      <c r="C220" s="3"/>
      <c r="D220" s="3"/>
      <c r="E220" s="3"/>
      <c r="F220" s="3"/>
      <c r="G220" s="3"/>
      <c r="H220" s="3"/>
      <c r="I220" s="3"/>
      <c r="J220" s="3"/>
      <c r="K220" s="3"/>
      <c r="L220" s="3"/>
      <c r="M220" s="3"/>
      <c r="N220" s="3"/>
      <c r="O220" s="3"/>
      <c r="P220" s="3"/>
      <c r="Q220" s="3"/>
      <c r="R220" s="3"/>
      <c r="S220" s="3"/>
      <c r="T220" s="3"/>
      <c r="U220" s="3"/>
      <c r="V220" s="3"/>
      <c r="W220" s="3"/>
    </row>
    <row r="221" spans="1:47" x14ac:dyDescent="0.35">
      <c r="A221" s="3"/>
      <c r="B221" s="3"/>
      <c r="C221" s="3"/>
      <c r="D221" s="3"/>
      <c r="E221" s="3"/>
      <c r="F221" s="3"/>
      <c r="G221" s="3"/>
      <c r="H221" s="3"/>
      <c r="I221" s="3"/>
      <c r="J221" s="3"/>
      <c r="K221" s="3"/>
      <c r="L221" s="3"/>
      <c r="M221" s="3"/>
      <c r="N221" s="3"/>
      <c r="O221" s="3"/>
      <c r="P221" s="3"/>
      <c r="Q221" s="3"/>
      <c r="R221" s="3"/>
      <c r="S221" s="3"/>
      <c r="T221" s="3"/>
      <c r="U221" s="3"/>
      <c r="V221" s="3"/>
      <c r="W221" s="3"/>
    </row>
    <row r="222" spans="1:47" x14ac:dyDescent="0.35">
      <c r="A222" s="3"/>
      <c r="B222" s="3"/>
      <c r="C222" s="3"/>
      <c r="D222" s="3"/>
      <c r="E222" s="3"/>
      <c r="F222" s="3"/>
      <c r="G222" s="3"/>
      <c r="H222" s="3"/>
      <c r="I222" s="3"/>
      <c r="J222" s="3"/>
      <c r="K222" s="3"/>
      <c r="L222" s="3"/>
      <c r="M222" s="3"/>
      <c r="N222" s="3"/>
      <c r="O222" s="3"/>
      <c r="P222" s="3"/>
      <c r="Q222" s="3"/>
      <c r="R222" s="3"/>
      <c r="S222" s="3"/>
      <c r="T222" s="3"/>
      <c r="U222" s="3"/>
      <c r="V222" s="3"/>
      <c r="W222" s="3"/>
    </row>
    <row r="223" spans="1:47" x14ac:dyDescent="0.35">
      <c r="A223" s="3"/>
      <c r="B223" s="3"/>
      <c r="C223" s="3"/>
      <c r="D223" s="3"/>
      <c r="E223" s="3"/>
      <c r="F223" s="3"/>
      <c r="G223" s="3"/>
      <c r="H223" s="3"/>
      <c r="I223" s="3"/>
      <c r="J223" s="3"/>
      <c r="K223" s="3"/>
      <c r="L223" s="3"/>
      <c r="M223" s="3"/>
      <c r="N223" s="3"/>
      <c r="O223" s="3"/>
      <c r="P223" s="3"/>
      <c r="Q223" s="3"/>
      <c r="R223" s="3"/>
      <c r="S223" s="3"/>
      <c r="T223" s="3"/>
      <c r="U223" s="3"/>
      <c r="V223" s="3"/>
      <c r="W223" s="3"/>
    </row>
    <row r="224" spans="1:47" x14ac:dyDescent="0.35">
      <c r="A224" s="3"/>
      <c r="B224" s="3"/>
      <c r="C224" s="3"/>
      <c r="D224" s="3"/>
      <c r="E224" s="3"/>
      <c r="F224" s="3"/>
      <c r="G224" s="3"/>
      <c r="H224" s="3"/>
      <c r="I224" s="3"/>
      <c r="J224" s="3"/>
      <c r="K224" s="3"/>
      <c r="L224" s="3"/>
      <c r="M224" s="3"/>
      <c r="N224" s="3"/>
      <c r="O224" s="3"/>
      <c r="P224" s="3"/>
      <c r="Q224" s="3"/>
      <c r="R224" s="3"/>
      <c r="S224" s="3"/>
      <c r="T224" s="3"/>
      <c r="U224" s="3"/>
      <c r="V224" s="3"/>
      <c r="W224" s="3"/>
    </row>
    <row r="225" spans="1:47" x14ac:dyDescent="0.35">
      <c r="A225" s="3"/>
      <c r="B225" s="3"/>
      <c r="C225" s="3"/>
      <c r="D225" s="3"/>
      <c r="E225" s="3"/>
      <c r="F225" s="3"/>
      <c r="G225" s="3"/>
      <c r="H225" s="3"/>
      <c r="I225" s="3"/>
      <c r="J225" s="3"/>
      <c r="K225" s="3"/>
      <c r="L225" s="3"/>
      <c r="M225" s="3"/>
      <c r="N225" s="3"/>
      <c r="O225" s="3"/>
      <c r="P225" s="3"/>
      <c r="Q225" s="3"/>
      <c r="R225" s="3"/>
      <c r="S225" s="3"/>
      <c r="T225" s="3"/>
      <c r="U225" s="3"/>
      <c r="V225" s="3"/>
      <c r="W225" s="3"/>
    </row>
    <row r="226" spans="1:47" x14ac:dyDescent="0.35">
      <c r="A226" s="3"/>
      <c r="B226" s="3"/>
      <c r="C226" s="3"/>
      <c r="D226" s="3"/>
      <c r="E226" s="3"/>
      <c r="F226" s="3"/>
      <c r="G226" s="3"/>
      <c r="H226" s="3"/>
      <c r="I226" s="3"/>
      <c r="J226" s="3"/>
      <c r="K226" s="3"/>
      <c r="L226" s="3"/>
      <c r="M226" s="3"/>
      <c r="N226" s="3"/>
      <c r="O226" s="3"/>
      <c r="P226" s="3"/>
      <c r="Q226" s="3"/>
      <c r="R226" s="3"/>
      <c r="S226" s="3"/>
      <c r="T226" s="3"/>
      <c r="U226" s="3"/>
      <c r="V226" s="3"/>
      <c r="W226" s="3"/>
    </row>
    <row r="227" spans="1:47" x14ac:dyDescent="0.35">
      <c r="A227" s="3"/>
      <c r="B227" s="3"/>
      <c r="C227" s="3"/>
      <c r="D227" s="3"/>
      <c r="E227" s="3"/>
      <c r="F227" s="3"/>
      <c r="G227" s="3"/>
      <c r="H227" s="3"/>
      <c r="I227" s="3"/>
      <c r="J227" s="3"/>
      <c r="K227" s="3"/>
      <c r="L227" s="3"/>
      <c r="M227" s="3"/>
      <c r="N227" s="3"/>
      <c r="O227" s="3"/>
      <c r="P227" s="3"/>
      <c r="Q227" s="3"/>
      <c r="R227" s="3"/>
      <c r="S227" s="3"/>
      <c r="T227" s="3"/>
      <c r="U227" s="3"/>
      <c r="V227" s="3"/>
      <c r="W227" s="3"/>
    </row>
    <row r="228" spans="1:47" x14ac:dyDescent="0.35">
      <c r="A228" s="3"/>
      <c r="B228" s="3"/>
      <c r="C228" s="3"/>
      <c r="D228" s="3"/>
      <c r="E228" s="3"/>
      <c r="F228" s="3"/>
      <c r="G228" s="3"/>
      <c r="H228" s="3"/>
      <c r="I228" s="3"/>
      <c r="J228" s="3"/>
      <c r="K228" s="3"/>
      <c r="L228" s="3"/>
      <c r="M228" s="3"/>
      <c r="N228" s="3"/>
      <c r="O228" s="3"/>
      <c r="P228" s="3"/>
      <c r="Q228" s="3"/>
      <c r="R228" s="3"/>
      <c r="S228" s="3"/>
      <c r="T228" s="3"/>
      <c r="U228" s="3"/>
      <c r="V228" s="3"/>
      <c r="W228" s="3"/>
    </row>
    <row r="229" spans="1:47" x14ac:dyDescent="0.35">
      <c r="A229" s="3"/>
      <c r="B229" s="3"/>
      <c r="C229" s="3"/>
      <c r="D229" s="3"/>
      <c r="E229" s="3"/>
      <c r="F229" s="3"/>
      <c r="G229" s="3"/>
      <c r="H229" s="3"/>
      <c r="I229" s="3"/>
      <c r="J229" s="3"/>
      <c r="K229" s="3"/>
      <c r="L229" s="3"/>
      <c r="M229" s="3"/>
      <c r="N229" s="3"/>
      <c r="O229" s="3"/>
      <c r="P229" s="3"/>
      <c r="Q229" s="3"/>
      <c r="R229" s="3"/>
      <c r="S229" s="3"/>
      <c r="T229" s="3"/>
      <c r="U229" s="3"/>
      <c r="V229" s="3"/>
      <c r="W229" s="3"/>
    </row>
    <row r="230" spans="1:47" x14ac:dyDescent="0.35">
      <c r="A230" s="3"/>
      <c r="B230" s="3"/>
      <c r="C230" s="3"/>
      <c r="D230" s="3"/>
      <c r="E230" s="3"/>
      <c r="F230" s="3"/>
      <c r="G230" s="3"/>
      <c r="H230" s="3"/>
      <c r="I230" s="3"/>
      <c r="J230" s="3"/>
      <c r="K230" s="3"/>
      <c r="L230" s="3"/>
      <c r="M230" s="3"/>
      <c r="N230" s="3"/>
      <c r="O230" s="3"/>
      <c r="P230" s="3"/>
      <c r="Q230" s="3"/>
      <c r="R230" s="3"/>
      <c r="S230" s="3"/>
      <c r="T230" s="3"/>
      <c r="U230" s="3"/>
      <c r="V230" s="3"/>
      <c r="W230" s="3"/>
    </row>
    <row r="231" spans="1:47" x14ac:dyDescent="0.35">
      <c r="A231" s="3"/>
      <c r="B231" s="3"/>
      <c r="C231" s="3"/>
      <c r="D231" s="3"/>
      <c r="E231" s="3"/>
      <c r="F231" s="3"/>
      <c r="G231" s="3"/>
      <c r="H231" s="3"/>
      <c r="I231" s="3"/>
      <c r="J231" s="3"/>
      <c r="K231" s="3"/>
      <c r="L231" s="3"/>
      <c r="M231" s="3"/>
      <c r="N231" s="3"/>
      <c r="O231" s="3"/>
      <c r="P231" s="3"/>
      <c r="Q231" s="3"/>
      <c r="R231" s="3"/>
      <c r="S231" s="3"/>
      <c r="T231" s="3"/>
      <c r="U231" s="3"/>
      <c r="V231" s="3"/>
      <c r="W231" s="3"/>
    </row>
    <row r="232" spans="1:47" x14ac:dyDescent="0.35">
      <c r="A232" s="3"/>
      <c r="B232" s="3"/>
      <c r="C232" s="3"/>
      <c r="D232" s="3"/>
      <c r="E232" s="3"/>
      <c r="F232" s="3"/>
      <c r="G232" s="3"/>
      <c r="H232" s="3"/>
      <c r="I232" s="3"/>
      <c r="J232" s="3"/>
      <c r="K232" s="3"/>
      <c r="L232" s="3"/>
      <c r="M232" s="3"/>
      <c r="N232" s="3"/>
      <c r="O232" s="3"/>
      <c r="P232" s="3"/>
      <c r="Q232" s="3"/>
      <c r="R232" s="3"/>
      <c r="S232" s="3"/>
      <c r="T232" s="3"/>
      <c r="U232" s="3"/>
      <c r="V232" s="3"/>
      <c r="W232" s="3"/>
    </row>
    <row r="233" spans="1:47" x14ac:dyDescent="0.35">
      <c r="A233" s="3"/>
      <c r="B233" s="3"/>
      <c r="C233" s="3"/>
      <c r="D233" s="3"/>
      <c r="E233" s="3"/>
      <c r="F233" s="3"/>
      <c r="G233" s="3"/>
      <c r="H233" s="3"/>
      <c r="I233" s="3"/>
      <c r="J233" s="3"/>
      <c r="K233" s="3"/>
      <c r="L233" s="3"/>
      <c r="M233" s="3"/>
      <c r="N233" s="3"/>
      <c r="O233" s="3"/>
      <c r="P233" s="3"/>
      <c r="Q233" s="3"/>
      <c r="R233" s="3"/>
      <c r="S233" s="3"/>
      <c r="T233" s="3"/>
      <c r="U233" s="3"/>
      <c r="V233" s="3"/>
      <c r="W233" s="3"/>
    </row>
    <row r="234" spans="1:47" x14ac:dyDescent="0.35">
      <c r="A234" s="1" t="s">
        <v>27</v>
      </c>
      <c r="B234" s="1" t="s">
        <v>142</v>
      </c>
      <c r="C234" s="1"/>
      <c r="D234" s="1"/>
      <c r="E234" s="1"/>
      <c r="F234" s="1"/>
      <c r="G234" s="1"/>
      <c r="H234" s="1"/>
      <c r="I234" s="1"/>
      <c r="J234" s="1" t="s">
        <v>28</v>
      </c>
      <c r="K234" s="1" t="s">
        <v>143</v>
      </c>
      <c r="L234" s="1"/>
      <c r="M234" s="1"/>
      <c r="N234" s="1"/>
      <c r="O234" s="1"/>
      <c r="P234" s="1"/>
      <c r="Q234" s="1"/>
      <c r="R234" s="1"/>
      <c r="S234" s="1"/>
      <c r="T234" s="1"/>
      <c r="U234" s="3"/>
      <c r="V234" s="3"/>
      <c r="W234" s="3"/>
    </row>
    <row r="235" spans="1:47" x14ac:dyDescent="0.35">
      <c r="A235" s="3"/>
      <c r="B235" s="3"/>
      <c r="C235" s="3"/>
      <c r="D235" s="3"/>
      <c r="E235" s="3"/>
      <c r="F235" s="3"/>
      <c r="G235" s="3"/>
      <c r="H235" s="3"/>
      <c r="I235" s="3"/>
      <c r="J235" s="3"/>
      <c r="K235" s="3"/>
      <c r="L235" s="3"/>
      <c r="M235" s="3"/>
      <c r="N235" s="3"/>
      <c r="O235" s="3"/>
      <c r="P235" s="3"/>
      <c r="Q235" s="3"/>
      <c r="R235" s="3"/>
      <c r="S235" s="3"/>
      <c r="T235" s="3"/>
      <c r="U235" s="3"/>
      <c r="V235" s="3"/>
      <c r="W235" s="3"/>
    </row>
    <row r="236" spans="1:47" x14ac:dyDescent="0.35">
      <c r="A236" s="3"/>
      <c r="B236" s="3"/>
      <c r="C236" s="3"/>
      <c r="D236" s="3"/>
      <c r="E236" s="3"/>
      <c r="F236" s="3"/>
      <c r="G236" s="3"/>
      <c r="H236" s="3"/>
      <c r="I236" s="3"/>
      <c r="J236" s="3"/>
      <c r="K236" s="3"/>
      <c r="L236" s="3"/>
      <c r="M236" s="3"/>
      <c r="N236" s="3"/>
      <c r="O236" s="3"/>
      <c r="P236" s="3"/>
      <c r="Q236" s="3"/>
      <c r="R236" s="3"/>
      <c r="S236" s="3"/>
      <c r="T236" s="3"/>
      <c r="U236" s="3"/>
      <c r="V236" s="3"/>
      <c r="W236" s="3"/>
    </row>
    <row r="237" spans="1:47" x14ac:dyDescent="0.35">
      <c r="A237" s="3"/>
      <c r="B237" s="3"/>
      <c r="C237" s="3"/>
      <c r="D237" s="3"/>
      <c r="E237" s="3"/>
      <c r="F237" s="3"/>
      <c r="G237" s="3"/>
      <c r="H237" s="3"/>
      <c r="I237" s="3"/>
      <c r="J237" s="3"/>
      <c r="K237" s="3"/>
      <c r="L237" s="3"/>
      <c r="M237" s="3"/>
      <c r="N237" s="3"/>
      <c r="O237" s="3"/>
      <c r="P237" s="3"/>
      <c r="Q237" s="3"/>
      <c r="R237" s="3"/>
      <c r="S237" s="3"/>
      <c r="T237" s="3"/>
      <c r="U237" s="3"/>
      <c r="V237" s="3"/>
      <c r="W237" s="3"/>
      <c r="AB237" s="19">
        <f t="shared" ref="AB237:AR237" si="119">AC237-1</f>
        <v>29</v>
      </c>
      <c r="AC237" s="19">
        <f t="shared" si="119"/>
        <v>30</v>
      </c>
      <c r="AD237" s="19">
        <f t="shared" si="119"/>
        <v>31</v>
      </c>
      <c r="AE237" s="19">
        <f t="shared" si="119"/>
        <v>32</v>
      </c>
      <c r="AF237" s="19">
        <f t="shared" si="119"/>
        <v>33</v>
      </c>
      <c r="AG237" s="19">
        <f t="shared" si="119"/>
        <v>34</v>
      </c>
      <c r="AH237" s="19">
        <f t="shared" si="119"/>
        <v>35</v>
      </c>
      <c r="AI237" s="19">
        <f t="shared" si="119"/>
        <v>36</v>
      </c>
      <c r="AJ237" s="19">
        <f t="shared" si="119"/>
        <v>37</v>
      </c>
      <c r="AK237" s="19">
        <f t="shared" si="119"/>
        <v>38</v>
      </c>
      <c r="AL237" s="19">
        <f t="shared" si="119"/>
        <v>39</v>
      </c>
      <c r="AM237" s="19">
        <f t="shared" si="119"/>
        <v>40</v>
      </c>
      <c r="AN237" s="19">
        <f t="shared" si="119"/>
        <v>41</v>
      </c>
      <c r="AO237" s="19">
        <f t="shared" si="119"/>
        <v>42</v>
      </c>
      <c r="AP237" s="19">
        <f t="shared" si="119"/>
        <v>43</v>
      </c>
      <c r="AQ237" s="19">
        <f t="shared" si="119"/>
        <v>44</v>
      </c>
      <c r="AR237" s="19">
        <f t="shared" si="119"/>
        <v>45</v>
      </c>
      <c r="AS237" s="19">
        <f t="shared" ref="AS237" si="120">AT237-1</f>
        <v>46</v>
      </c>
      <c r="AT237" s="19">
        <f>AU237-1</f>
        <v>47</v>
      </c>
      <c r="AU237" s="19">
        <f>VLOOKUP(AU238,Dates!$A:$D,2,FALSE)</f>
        <v>48</v>
      </c>
    </row>
    <row r="238" spans="1:47" x14ac:dyDescent="0.35">
      <c r="A238" s="3"/>
      <c r="B238" s="3"/>
      <c r="C238" s="3"/>
      <c r="D238" s="3"/>
      <c r="E238" s="3"/>
      <c r="F238" s="3"/>
      <c r="G238" s="3"/>
      <c r="H238" s="3"/>
      <c r="I238" s="3"/>
      <c r="J238" s="3"/>
      <c r="K238" s="3"/>
      <c r="L238" s="3"/>
      <c r="M238" s="3"/>
      <c r="N238" s="3"/>
      <c r="O238" s="3"/>
      <c r="P238" s="3"/>
      <c r="Q238" s="3"/>
      <c r="R238" s="3"/>
      <c r="S238" s="3"/>
      <c r="T238" s="3"/>
      <c r="U238" s="3"/>
      <c r="V238" s="3"/>
      <c r="W238" s="3"/>
      <c r="AB238" s="19" t="str">
        <f>IFERROR(VLOOKUP(AB237,Dates!$B:$D,3,FALSE),"")</f>
        <v>1Q19</v>
      </c>
      <c r="AC238" s="19" t="str">
        <f>IFERROR(VLOOKUP(AC237,Dates!$B:$D,3,FALSE),"")</f>
        <v>2Q19</v>
      </c>
      <c r="AD238" s="19" t="str">
        <f>IFERROR(VLOOKUP(AD237,Dates!$B:$D,3,FALSE),"")</f>
        <v>3Q19</v>
      </c>
      <c r="AE238" s="19" t="str">
        <f>IFERROR(VLOOKUP(AE237,Dates!$B:$D,3,FALSE),"")</f>
        <v>4Q19</v>
      </c>
      <c r="AF238" s="19" t="str">
        <f>IFERROR(VLOOKUP(AF237,Dates!$B:$D,3,FALSE),"")</f>
        <v>1Q20</v>
      </c>
      <c r="AG238" s="19" t="str">
        <f>IFERROR(VLOOKUP(AG237,Dates!$B:$D,3,FALSE),"")</f>
        <v>2Q20</v>
      </c>
      <c r="AH238" s="19" t="str">
        <f>IFERROR(VLOOKUP(AH237,Dates!$B:$D,3,FALSE),"")</f>
        <v>3Q20</v>
      </c>
      <c r="AI238" s="19" t="str">
        <f>IFERROR(VLOOKUP(AI237,Dates!$B:$D,3,FALSE),"")</f>
        <v>4Q20</v>
      </c>
      <c r="AJ238" s="19" t="str">
        <f>IFERROR(VLOOKUP(AJ237,Dates!$B:$D,3,FALSE),"")</f>
        <v>1Q21</v>
      </c>
      <c r="AK238" s="19" t="str">
        <f>IFERROR(VLOOKUP(AK237,Dates!$B:$D,3,FALSE),"")</f>
        <v>2Q21</v>
      </c>
      <c r="AL238" s="19" t="str">
        <f>IFERROR(VLOOKUP(AL237,Dates!$B:$D,3,FALSE),"")</f>
        <v>3Q21</v>
      </c>
      <c r="AM238" s="19" t="str">
        <f>IFERROR(VLOOKUP(AM237,Dates!$B:$D,3,FALSE),"")</f>
        <v>4Q21</v>
      </c>
      <c r="AN238" s="19" t="str">
        <f>IFERROR(VLOOKUP(AN237,Dates!$B:$D,3,FALSE),"")</f>
        <v>1Q22</v>
      </c>
      <c r="AO238" s="19" t="str">
        <f>IFERROR(VLOOKUP(AO237,Dates!$B:$D,3,FALSE),"")</f>
        <v>2Q22</v>
      </c>
      <c r="AP238" s="19" t="str">
        <f>IFERROR(VLOOKUP(AP237,Dates!$B:$D,3,FALSE),"")</f>
        <v>3Q22</v>
      </c>
      <c r="AQ238" s="19" t="str">
        <f>IFERROR(VLOOKUP(AQ237,Dates!$B:$D,3,FALSE),"")</f>
        <v>4Q22</v>
      </c>
      <c r="AR238" s="19" t="str">
        <f>IFERROR(VLOOKUP(AR237,Dates!$B:$D,3,FALSE),"")</f>
        <v>1Q23</v>
      </c>
      <c r="AS238" s="19" t="str">
        <f>IFERROR(VLOOKUP(AS237,Dates!$B:$D,3,FALSE),"")</f>
        <v>2Q23</v>
      </c>
      <c r="AT238" s="19" t="str">
        <f>IFERROR(VLOOKUP(AT237,Dates!$B:$D,3,FALSE),"")</f>
        <v>3Q23</v>
      </c>
      <c r="AU238" s="20" t="str">
        <f>$G$3</f>
        <v>4Q23</v>
      </c>
    </row>
    <row r="239" spans="1:47" x14ac:dyDescent="0.35">
      <c r="A239" s="3"/>
      <c r="B239" s="3"/>
      <c r="C239" s="3"/>
      <c r="D239" s="3"/>
      <c r="E239" s="3"/>
      <c r="F239" s="3"/>
      <c r="G239" s="3"/>
      <c r="H239" s="3"/>
      <c r="I239" s="3"/>
      <c r="J239" s="3"/>
      <c r="K239" s="3"/>
      <c r="L239" s="3"/>
      <c r="M239" s="3"/>
      <c r="N239" s="3"/>
      <c r="O239" s="3"/>
      <c r="P239" s="3"/>
      <c r="Q239" s="3"/>
      <c r="R239" s="3"/>
      <c r="S239" s="3"/>
      <c r="T239" s="3"/>
      <c r="U239" s="3"/>
      <c r="V239" s="3"/>
      <c r="W239" s="3"/>
      <c r="AA239" s="21" t="str">
        <f>'Reported Group Balance Sheet'!A76</f>
        <v>Cash Capex to service revs (%)</v>
      </c>
      <c r="AB239" s="23">
        <f>IFERROR(INDEX('Reported Group Balance Sheet'!$A:$AAT,MATCH($AA239,'Reported Group Balance Sheet'!$A:$A,0),MATCH(AB238,'Reported Group Balance Sheet'!$1:$1,0)),"")</f>
        <v>0.45730713851458443</v>
      </c>
      <c r="AC239" s="23">
        <f>IFERROR(INDEX('Reported Group Balance Sheet'!$A:$AAT,MATCH($AA239,'Reported Group Balance Sheet'!$A:$A,0),MATCH(AC238,'Reported Group Balance Sheet'!$1:$1,0)),"")</f>
        <v>0.38020379835519769</v>
      </c>
      <c r="AD239" s="23">
        <f>IFERROR(INDEX('Reported Group Balance Sheet'!$A:$AAT,MATCH($AA239,'Reported Group Balance Sheet'!$A:$A,0),MATCH(AD238,'Reported Group Balance Sheet'!$1:$1,0)),"")</f>
        <v>0.31256157345112773</v>
      </c>
      <c r="AE239" s="23">
        <f>IFERROR(INDEX('Reported Group Balance Sheet'!$A:$AAT,MATCH($AA239,'Reported Group Balance Sheet'!$A:$A,0),MATCH(AE238,'Reported Group Balance Sheet'!$1:$1,0)),"")</f>
        <v>0.44028340338561817</v>
      </c>
      <c r="AF239" s="23">
        <f>IFERROR(INDEX('Reported Group Balance Sheet'!$A:$AAT,MATCH($AA239,'Reported Group Balance Sheet'!$A:$A,0),MATCH(AF238,'Reported Group Balance Sheet'!$1:$1,0)),"")</f>
        <v>0.32094701785892044</v>
      </c>
      <c r="AG239" s="23">
        <f>IFERROR(INDEX('Reported Group Balance Sheet'!$A:$AAT,MATCH($AA239,'Reported Group Balance Sheet'!$A:$A,0),MATCH(AG238,'Reported Group Balance Sheet'!$1:$1,0)),"")</f>
        <v>0.41644569760492472</v>
      </c>
      <c r="AH239" s="23">
        <f>IFERROR(INDEX('Reported Group Balance Sheet'!$A:$AAT,MATCH($AA239,'Reported Group Balance Sheet'!$A:$A,0),MATCH(AH238,'Reported Group Balance Sheet'!$1:$1,0)),"")</f>
        <v>0.24935140292608227</v>
      </c>
      <c r="AI239" s="23">
        <f>IFERROR(INDEX('Reported Group Balance Sheet'!$A:$AAT,MATCH($AA239,'Reported Group Balance Sheet'!$A:$A,0),MATCH(AI238,'Reported Group Balance Sheet'!$1:$1,0)),"")</f>
        <v>0.29463415082336281</v>
      </c>
      <c r="AJ239" s="23">
        <f>IFERROR(INDEX('Reported Group Balance Sheet'!$A:$AAT,MATCH($AA239,'Reported Group Balance Sheet'!$A:$A,0),MATCH(AJ238,'Reported Group Balance Sheet'!$1:$1,0)),"")</f>
        <v>0.31990341336143963</v>
      </c>
      <c r="AK239" s="23">
        <f>IFERROR(INDEX('Reported Group Balance Sheet'!$A:$AAT,MATCH($AA239,'Reported Group Balance Sheet'!$A:$A,0),MATCH(AK238,'Reported Group Balance Sheet'!$1:$1,0)),"")</f>
        <v>0.35328325668003219</v>
      </c>
      <c r="AL239" s="23">
        <f>IFERROR(INDEX('Reported Group Balance Sheet'!$A:$AAT,MATCH($AA239,'Reported Group Balance Sheet'!$A:$A,0),MATCH(AL238,'Reported Group Balance Sheet'!$1:$1,0)),"")</f>
        <v>0.25454998006248764</v>
      </c>
      <c r="AM239" s="23">
        <f>IFERROR(INDEX('Reported Group Balance Sheet'!$A:$AAT,MATCH($AA239,'Reported Group Balance Sheet'!$A:$A,0),MATCH(AM238,'Reported Group Balance Sheet'!$1:$1,0)),"")</f>
        <v>0.2514018447706835</v>
      </c>
      <c r="AN239" s="23">
        <f>IFERROR(INDEX('Reported Group Balance Sheet'!$A:$AAT,MATCH($AA239,'Reported Group Balance Sheet'!$A:$A,0),MATCH(AN238,'Reported Group Balance Sheet'!$1:$1,0)),"")</f>
        <v>0.38121276000309778</v>
      </c>
      <c r="AO239" s="23">
        <f>IFERROR(INDEX('Reported Group Balance Sheet'!$A:$AAT,MATCH($AA239,'Reported Group Balance Sheet'!$A:$A,0),MATCH(AO238,'Reported Group Balance Sheet'!$1:$1,0)),"")</f>
        <v>0.28681521197674587</v>
      </c>
      <c r="AP239" s="23">
        <f>IFERROR(INDEX('Reported Group Balance Sheet'!$A:$AAT,MATCH($AA239,'Reported Group Balance Sheet'!$A:$A,0),MATCH(AP238,'Reported Group Balance Sheet'!$1:$1,0)),"")</f>
        <v>0.27574052807527361</v>
      </c>
      <c r="AQ239" s="23">
        <f>IFERROR(INDEX('Reported Group Balance Sheet'!$A:$AAT,MATCH($AA239,'Reported Group Balance Sheet'!$A:$A,0),MATCH(AQ238,'Reported Group Balance Sheet'!$1:$1,0)),"")</f>
        <v>0.33091741967441912</v>
      </c>
      <c r="AR239" s="23">
        <f>IFERROR(INDEX('Reported Group Balance Sheet'!$A:$AAT,MATCH($AA239,'Reported Group Balance Sheet'!$A:$A,0),MATCH(AR238,'Reported Group Balance Sheet'!$1:$1,0)),"")</f>
        <v>0.31885008146949112</v>
      </c>
      <c r="AS239" s="23">
        <f>IFERROR(INDEX('Reported Group Balance Sheet'!$A:$AAT,MATCH($AA239,'Reported Group Balance Sheet'!$A:$A,0),MATCH(AS238,'Reported Group Balance Sheet'!$1:$1,0)),"")</f>
        <v>0.36364771943031221</v>
      </c>
      <c r="AT239" s="23">
        <f>IFERROR(INDEX('Reported Group Balance Sheet'!$A:$AAT,MATCH($AA239,'Reported Group Balance Sheet'!$A:$A,0),MATCH(AT238,'Reported Group Balance Sheet'!$1:$1,0)),"")</f>
        <v>0.3732051110072111</v>
      </c>
      <c r="AU239" s="23">
        <f>IFERROR(INDEX('Reported Group Balance Sheet'!$A:$AAT,MATCH($AA239,'Reported Group Balance Sheet'!$A:$A,0),MATCH(AU238,'Reported Group Balance Sheet'!$1:$1,0)),"")</f>
        <v>0.29386930162791469</v>
      </c>
    </row>
    <row r="240" spans="1:47" x14ac:dyDescent="0.35">
      <c r="A240" s="3"/>
      <c r="B240" s="3"/>
      <c r="C240" s="3"/>
      <c r="D240" s="3"/>
      <c r="E240" s="3"/>
      <c r="F240" s="3"/>
      <c r="G240" s="3"/>
      <c r="H240" s="3"/>
      <c r="I240" s="3"/>
      <c r="J240" s="3"/>
      <c r="K240" s="3"/>
      <c r="L240" s="3"/>
      <c r="M240" s="3"/>
      <c r="N240" s="3"/>
      <c r="O240" s="3"/>
      <c r="P240" s="3"/>
      <c r="Q240" s="3"/>
      <c r="R240" s="3"/>
      <c r="S240" s="3"/>
      <c r="T240" s="3"/>
      <c r="U240" s="3"/>
      <c r="V240" s="3"/>
      <c r="W240" s="3"/>
    </row>
    <row r="241" spans="1:47" x14ac:dyDescent="0.35">
      <c r="A241" s="3"/>
      <c r="B241" s="3"/>
      <c r="C241" s="3"/>
      <c r="D241" s="3"/>
      <c r="E241" s="3"/>
      <c r="F241" s="3"/>
      <c r="G241" s="3"/>
      <c r="H241" s="3"/>
      <c r="I241" s="3"/>
      <c r="J241" s="3"/>
      <c r="K241" s="3"/>
      <c r="L241" s="3"/>
      <c r="M241" s="3"/>
      <c r="N241" s="3"/>
      <c r="O241" s="3"/>
      <c r="P241" s="3"/>
      <c r="Q241" s="3"/>
      <c r="R241" s="3"/>
      <c r="S241" s="3"/>
      <c r="T241" s="3"/>
      <c r="U241" s="3"/>
      <c r="V241" s="3"/>
      <c r="W241" s="3"/>
    </row>
    <row r="242" spans="1:47" x14ac:dyDescent="0.35">
      <c r="A242" s="3"/>
      <c r="B242" s="3"/>
      <c r="C242" s="3"/>
      <c r="D242" s="3"/>
      <c r="E242" s="3"/>
      <c r="F242" s="3"/>
      <c r="G242" s="3"/>
      <c r="H242" s="3"/>
      <c r="I242" s="3"/>
      <c r="J242" s="3"/>
      <c r="K242" s="3"/>
      <c r="L242" s="3"/>
      <c r="M242" s="3"/>
      <c r="N242" s="3"/>
      <c r="O242" s="3"/>
      <c r="P242" s="3"/>
      <c r="Q242" s="3"/>
      <c r="R242" s="3"/>
      <c r="S242" s="3"/>
      <c r="T242" s="3"/>
      <c r="U242" s="3"/>
      <c r="V242" s="3"/>
      <c r="W242" s="3"/>
    </row>
    <row r="243" spans="1:47" x14ac:dyDescent="0.35">
      <c r="A243" s="3"/>
      <c r="B243" s="3"/>
      <c r="C243" s="3"/>
      <c r="D243" s="3"/>
      <c r="E243" s="3"/>
      <c r="F243" s="3"/>
      <c r="G243" s="3"/>
      <c r="H243" s="3"/>
      <c r="I243" s="3"/>
      <c r="J243" s="3"/>
      <c r="K243" s="3"/>
      <c r="L243" s="3"/>
      <c r="M243" s="3"/>
      <c r="N243" s="3"/>
      <c r="O243" s="3"/>
      <c r="P243" s="3"/>
      <c r="Q243" s="3"/>
      <c r="R243" s="3"/>
      <c r="S243" s="3"/>
      <c r="T243" s="3"/>
      <c r="U243" s="3"/>
      <c r="V243" s="3"/>
      <c r="W243" s="3"/>
      <c r="AB243" s="19"/>
      <c r="AC243" s="19"/>
      <c r="AD243" s="19"/>
      <c r="AE243" s="19"/>
      <c r="AF243" s="19"/>
      <c r="AG243" s="19"/>
      <c r="AH243" s="19"/>
      <c r="AI243" s="19"/>
      <c r="AJ243" s="19"/>
      <c r="AK243" s="19"/>
      <c r="AL243" s="19"/>
      <c r="AM243" s="19"/>
      <c r="AN243" s="19"/>
      <c r="AO243" s="19"/>
      <c r="AP243" s="19"/>
      <c r="AQ243" s="19"/>
      <c r="AR243" s="19"/>
      <c r="AS243" s="19"/>
      <c r="AT243" s="19"/>
      <c r="AU243" s="19"/>
    </row>
    <row r="244" spans="1:47" x14ac:dyDescent="0.35">
      <c r="A244" s="3"/>
      <c r="B244" s="3"/>
      <c r="C244" s="3"/>
      <c r="D244" s="3"/>
      <c r="E244" s="3"/>
      <c r="F244" s="3"/>
      <c r="G244" s="3"/>
      <c r="H244" s="3"/>
      <c r="I244" s="3"/>
      <c r="J244" s="3"/>
      <c r="K244" s="3"/>
      <c r="L244" s="3"/>
      <c r="M244" s="3"/>
      <c r="N244" s="3"/>
      <c r="O244" s="3"/>
      <c r="P244" s="3"/>
      <c r="Q244" s="3"/>
      <c r="R244" s="3"/>
      <c r="S244" s="3"/>
      <c r="T244" s="3"/>
      <c r="U244" s="3"/>
      <c r="V244" s="3"/>
      <c r="W244" s="3"/>
      <c r="AB244" s="19">
        <f t="shared" ref="AB244" si="121">AC244-1</f>
        <v>29</v>
      </c>
      <c r="AC244" s="19">
        <f t="shared" ref="AC244" si="122">AD244-1</f>
        <v>30</v>
      </c>
      <c r="AD244" s="19">
        <f t="shared" ref="AD244" si="123">AE244-1</f>
        <v>31</v>
      </c>
      <c r="AE244" s="19">
        <f t="shared" ref="AE244" si="124">AF244-1</f>
        <v>32</v>
      </c>
      <c r="AF244" s="19">
        <f t="shared" ref="AF244" si="125">AG244-1</f>
        <v>33</v>
      </c>
      <c r="AG244" s="19">
        <f t="shared" ref="AG244" si="126">AH244-1</f>
        <v>34</v>
      </c>
      <c r="AH244" s="19">
        <f t="shared" ref="AH244" si="127">AI244-1</f>
        <v>35</v>
      </c>
      <c r="AI244" s="19">
        <f t="shared" ref="AI244" si="128">AJ244-1</f>
        <v>36</v>
      </c>
      <c r="AJ244" s="19">
        <f t="shared" ref="AJ244" si="129">AK244-1</f>
        <v>37</v>
      </c>
      <c r="AK244" s="19">
        <f t="shared" ref="AK244" si="130">AL244-1</f>
        <v>38</v>
      </c>
      <c r="AL244" s="19">
        <f t="shared" ref="AL244" si="131">AM244-1</f>
        <v>39</v>
      </c>
      <c r="AM244" s="19">
        <f t="shared" ref="AM244" si="132">AN244-1</f>
        <v>40</v>
      </c>
      <c r="AN244" s="19">
        <f t="shared" ref="AN244" si="133">AO244-1</f>
        <v>41</v>
      </c>
      <c r="AO244" s="19">
        <f t="shared" ref="AO244" si="134">AP244-1</f>
        <v>42</v>
      </c>
      <c r="AP244" s="19">
        <f t="shared" ref="AP244" si="135">AQ244-1</f>
        <v>43</v>
      </c>
      <c r="AQ244" s="19">
        <f t="shared" ref="AQ244" si="136">AR244-1</f>
        <v>44</v>
      </c>
      <c r="AR244" s="19">
        <f t="shared" ref="AR244" si="137">AS244-1</f>
        <v>45</v>
      </c>
      <c r="AS244" s="19">
        <f t="shared" ref="AS244" si="138">AT244-1</f>
        <v>46</v>
      </c>
      <c r="AT244" s="19">
        <f>AU244-1</f>
        <v>47</v>
      </c>
      <c r="AU244" s="19">
        <f>VLOOKUP(AU245,Dates!$A:$D,2,FALSE)</f>
        <v>48</v>
      </c>
    </row>
    <row r="245" spans="1:47" x14ac:dyDescent="0.35">
      <c r="A245" s="3"/>
      <c r="B245" s="3"/>
      <c r="C245" s="3"/>
      <c r="D245" s="3"/>
      <c r="E245" s="3"/>
      <c r="F245" s="3"/>
      <c r="G245" s="3"/>
      <c r="H245" s="3"/>
      <c r="I245" s="3"/>
      <c r="J245" s="3"/>
      <c r="K245" s="3"/>
      <c r="L245" s="3"/>
      <c r="M245" s="3"/>
      <c r="N245" s="3"/>
      <c r="O245" s="3"/>
      <c r="P245" s="3"/>
      <c r="Q245" s="3"/>
      <c r="R245" s="3"/>
      <c r="S245" s="3"/>
      <c r="T245" s="3"/>
      <c r="U245" s="3"/>
      <c r="V245" s="3"/>
      <c r="W245" s="3"/>
      <c r="AB245" s="19" t="str">
        <f>IFERROR(VLOOKUP(AB244,Dates!$B:$D,3,FALSE),"")</f>
        <v>1Q19</v>
      </c>
      <c r="AC245" s="19" t="str">
        <f>IFERROR(VLOOKUP(AC244,Dates!$B:$D,3,FALSE),"")</f>
        <v>2Q19</v>
      </c>
      <c r="AD245" s="19" t="str">
        <f>IFERROR(VLOOKUP(AD244,Dates!$B:$D,3,FALSE),"")</f>
        <v>3Q19</v>
      </c>
      <c r="AE245" s="19" t="str">
        <f>IFERROR(VLOOKUP(AE244,Dates!$B:$D,3,FALSE),"")</f>
        <v>4Q19</v>
      </c>
      <c r="AF245" s="19" t="str">
        <f>IFERROR(VLOOKUP(AF244,Dates!$B:$D,3,FALSE),"")</f>
        <v>1Q20</v>
      </c>
      <c r="AG245" s="19" t="str">
        <f>IFERROR(VLOOKUP(AG244,Dates!$B:$D,3,FALSE),"")</f>
        <v>2Q20</v>
      </c>
      <c r="AH245" s="19" t="str">
        <f>IFERROR(VLOOKUP(AH244,Dates!$B:$D,3,FALSE),"")</f>
        <v>3Q20</v>
      </c>
      <c r="AI245" s="19" t="str">
        <f>IFERROR(VLOOKUP(AI244,Dates!$B:$D,3,FALSE),"")</f>
        <v>4Q20</v>
      </c>
      <c r="AJ245" s="19" t="str">
        <f>IFERROR(VLOOKUP(AJ244,Dates!$B:$D,3,FALSE),"")</f>
        <v>1Q21</v>
      </c>
      <c r="AK245" s="19" t="str">
        <f>IFERROR(VLOOKUP(AK244,Dates!$B:$D,3,FALSE),"")</f>
        <v>2Q21</v>
      </c>
      <c r="AL245" s="19" t="str">
        <f>IFERROR(VLOOKUP(AL244,Dates!$B:$D,3,FALSE),"")</f>
        <v>3Q21</v>
      </c>
      <c r="AM245" s="19" t="str">
        <f>IFERROR(VLOOKUP(AM244,Dates!$B:$D,3,FALSE),"")</f>
        <v>4Q21</v>
      </c>
      <c r="AN245" s="19" t="str">
        <f>IFERROR(VLOOKUP(AN244,Dates!$B:$D,3,FALSE),"")</f>
        <v>1Q22</v>
      </c>
      <c r="AO245" s="19" t="str">
        <f>IFERROR(VLOOKUP(AO244,Dates!$B:$D,3,FALSE),"")</f>
        <v>2Q22</v>
      </c>
      <c r="AP245" s="19" t="str">
        <f>IFERROR(VLOOKUP(AP244,Dates!$B:$D,3,FALSE),"")</f>
        <v>3Q22</v>
      </c>
      <c r="AQ245" s="19" t="str">
        <f>IFERROR(VLOOKUP(AQ244,Dates!$B:$D,3,FALSE),"")</f>
        <v>4Q22</v>
      </c>
      <c r="AR245" s="19" t="str">
        <f>IFERROR(VLOOKUP(AR244,Dates!$B:$D,3,FALSE),"")</f>
        <v>1Q23</v>
      </c>
      <c r="AS245" s="19" t="str">
        <f>IFERROR(VLOOKUP(AS244,Dates!$B:$D,3,FALSE),"")</f>
        <v>2Q23</v>
      </c>
      <c r="AT245" s="19" t="str">
        <f>IFERROR(VLOOKUP(AT244,Dates!$B:$D,3,FALSE),"")</f>
        <v>3Q23</v>
      </c>
      <c r="AU245" s="20" t="str">
        <f>$G$3</f>
        <v>4Q23</v>
      </c>
    </row>
    <row r="246" spans="1:47" x14ac:dyDescent="0.35">
      <c r="A246" s="3"/>
      <c r="B246" s="3"/>
      <c r="C246" s="3"/>
      <c r="D246" s="3"/>
      <c r="E246" s="3"/>
      <c r="F246" s="3"/>
      <c r="G246" s="3"/>
      <c r="H246" s="3"/>
      <c r="I246" s="3"/>
      <c r="J246" s="3"/>
      <c r="K246" s="3"/>
      <c r="L246" s="3"/>
      <c r="M246" s="3"/>
      <c r="N246" s="3"/>
      <c r="O246" s="3"/>
      <c r="P246" s="3"/>
      <c r="Q246" s="3"/>
      <c r="R246" s="3"/>
      <c r="S246" s="3"/>
      <c r="T246" s="3"/>
      <c r="U246" s="3"/>
      <c r="V246" s="3"/>
      <c r="W246" s="3"/>
      <c r="AA246" s="21" t="str">
        <f>'Reported Group Highlights'!A97</f>
        <v>OpFCF</v>
      </c>
      <c r="AB246" s="22">
        <f>IFERROR(INDEX('Reported Group Highlights'!$A:$AAW,MATCH($AA246,'Reported Group Highlights'!$A:$A,0),MATCH(AB245,'Reported Group Highlights'!$1:$1,0)),"")</f>
        <v>768</v>
      </c>
      <c r="AC246" s="22">
        <f>IFERROR(INDEX('Reported Group Highlights'!$A:$AAW,MATCH($AA246,'Reported Group Highlights'!$A:$A,0),MATCH(AC245,'Reported Group Highlights'!$1:$1,0)),"")</f>
        <v>376</v>
      </c>
      <c r="AD246" s="22">
        <f>IFERROR(INDEX('Reported Group Highlights'!$A:$AAW,MATCH($AA246,'Reported Group Highlights'!$A:$A,0),MATCH(AD245,'Reported Group Highlights'!$1:$1,0)),"")</f>
        <v>699</v>
      </c>
      <c r="AE246" s="22">
        <f>IFERROR(INDEX('Reported Group Highlights'!$A:$AAW,MATCH($AA246,'Reported Group Highlights'!$A:$A,0),MATCH(AE245,'Reported Group Highlights'!$1:$1,0)),"")</f>
        <v>127</v>
      </c>
      <c r="AF246" s="22">
        <f>IFERROR(INDEX('Reported Group Highlights'!$A:$AAW,MATCH($AA246,'Reported Group Highlights'!$A:$A,0),MATCH(AF245,'Reported Group Highlights'!$1:$1,0)),"")</f>
        <v>1400</v>
      </c>
      <c r="AG246" s="22">
        <f>IFERROR(INDEX('Reported Group Highlights'!$A:$AAW,MATCH($AA246,'Reported Group Highlights'!$A:$A,0),MATCH(AG245,'Reported Group Highlights'!$1:$1,0)),"")</f>
        <v>1355</v>
      </c>
      <c r="AH246" s="22">
        <f>IFERROR(INDEX('Reported Group Highlights'!$A:$AAW,MATCH($AA246,'Reported Group Highlights'!$A:$A,0),MATCH(AH245,'Reported Group Highlights'!$1:$1,0)),"")</f>
        <v>2071</v>
      </c>
      <c r="AI246" s="22">
        <f>IFERROR(INDEX('Reported Group Highlights'!$A:$AAW,MATCH($AA246,'Reported Group Highlights'!$A:$A,0),MATCH(AI245,'Reported Group Highlights'!$1:$1,0)),"")</f>
        <v>2079</v>
      </c>
      <c r="AJ246" s="22">
        <f>IFERROR(INDEX('Reported Group Highlights'!$A:$AAW,MATCH($AA246,'Reported Group Highlights'!$A:$A,0),MATCH(AJ245,'Reported Group Highlights'!$1:$1,0)),"")</f>
        <v>1403</v>
      </c>
      <c r="AK246" s="22">
        <f>IFERROR(INDEX('Reported Group Highlights'!$A:$AAW,MATCH($AA246,'Reported Group Highlights'!$A:$A,0),MATCH(AK245,'Reported Group Highlights'!$1:$1,0)),"")</f>
        <v>512</v>
      </c>
      <c r="AL246" s="22">
        <f>IFERROR(INDEX('Reported Group Highlights'!$A:$AAW,MATCH($AA246,'Reported Group Highlights'!$A:$A,0),MATCH(AL245,'Reported Group Highlights'!$1:$1,0)),"")</f>
        <v>1635</v>
      </c>
      <c r="AM246" s="22">
        <f>IFERROR(INDEX('Reported Group Highlights'!$A:$AAW,MATCH($AA246,'Reported Group Highlights'!$A:$A,0),MATCH(AM245,'Reported Group Highlights'!$1:$1,0)),"")</f>
        <v>3381</v>
      </c>
      <c r="AN246" s="22">
        <f>IFERROR(INDEX('Reported Group Highlights'!$A:$AAW,MATCH($AA246,'Reported Group Highlights'!$A:$A,0),MATCH(AN245,'Reported Group Highlights'!$1:$1,0)),"")</f>
        <v>3174</v>
      </c>
      <c r="AO246" s="22">
        <f>IFERROR(INDEX('Reported Group Highlights'!$A:$AAW,MATCH($AA246,'Reported Group Highlights'!$A:$A,0),MATCH(AO245,'Reported Group Highlights'!$1:$1,0)),"")</f>
        <v>457.53800000000047</v>
      </c>
      <c r="AP246" s="22">
        <f>IFERROR(INDEX('Reported Group Highlights'!$A:$AAW,MATCH($AA246,'Reported Group Highlights'!$A:$A,0),MATCH(AP245,'Reported Group Highlights'!$1:$1,0)),"")</f>
        <v>3643</v>
      </c>
      <c r="AQ246" s="22">
        <f>IFERROR(INDEX('Reported Group Highlights'!$A:$AAW,MATCH($AA246,'Reported Group Highlights'!$A:$A,0),MATCH(AQ245,'Reported Group Highlights'!$1:$1,0)),"")</f>
        <v>3858</v>
      </c>
      <c r="AR246" s="22">
        <f>IFERROR(INDEX('Reported Group Highlights'!$A:$AAW,MATCH($AA246,'Reported Group Highlights'!$A:$A,0),MATCH(AR245,'Reported Group Highlights'!$1:$1,0)),"")</f>
        <v>3583</v>
      </c>
      <c r="AS246" s="22">
        <f>IFERROR(INDEX('Reported Group Highlights'!$A:$AAW,MATCH($AA246,'Reported Group Highlights'!$A:$A,0),MATCH(AS245,'Reported Group Highlights'!$1:$1,0)),"")</f>
        <v>4069</v>
      </c>
      <c r="AT246" s="22">
        <f>IFERROR(INDEX('Reported Group Highlights'!$A:$AAW,MATCH($AA246,'Reported Group Highlights'!$A:$A,0),MATCH(AT245,'Reported Group Highlights'!$1:$1,0)),"")</f>
        <v>4103</v>
      </c>
      <c r="AU246" s="22">
        <f>IFERROR(INDEX('Reported Group Highlights'!$A:$AAW,MATCH($AA246,'Reported Group Highlights'!$A:$A,0),MATCH(AU245,'Reported Group Highlights'!$1:$1,0)),"")</f>
        <v>4130</v>
      </c>
    </row>
    <row r="247" spans="1:47" x14ac:dyDescent="0.35">
      <c r="A247" s="3"/>
      <c r="B247" s="3"/>
      <c r="C247" s="3"/>
      <c r="D247" s="3"/>
      <c r="E247" s="3"/>
      <c r="F247" s="3"/>
      <c r="G247" s="3"/>
      <c r="H247" s="3"/>
      <c r="I247" s="3"/>
      <c r="J247" s="3"/>
      <c r="K247" s="3"/>
      <c r="L247" s="3"/>
      <c r="M247" s="3"/>
      <c r="N247" s="3"/>
      <c r="O247" s="3"/>
      <c r="P247" s="3"/>
      <c r="Q247" s="3"/>
      <c r="R247" s="3"/>
      <c r="S247" s="3"/>
      <c r="T247" s="3"/>
      <c r="U247" s="3"/>
      <c r="V247" s="3"/>
      <c r="W247" s="3"/>
    </row>
    <row r="248" spans="1:47" x14ac:dyDescent="0.35">
      <c r="A248" s="3"/>
      <c r="B248" s="3"/>
      <c r="C248" s="3"/>
      <c r="D248" s="3"/>
      <c r="E248" s="3"/>
      <c r="F248" s="3"/>
      <c r="G248" s="3"/>
      <c r="H248" s="3"/>
      <c r="I248" s="3"/>
      <c r="J248" s="3"/>
      <c r="K248" s="3"/>
      <c r="L248" s="3"/>
      <c r="M248" s="3"/>
      <c r="N248" s="3"/>
      <c r="O248" s="3"/>
      <c r="P248" s="3"/>
      <c r="Q248" s="3"/>
      <c r="R248" s="3"/>
      <c r="S248" s="3"/>
      <c r="T248" s="3"/>
      <c r="U248" s="3"/>
      <c r="V248" s="3"/>
      <c r="W248" s="3"/>
    </row>
    <row r="249" spans="1:47" x14ac:dyDescent="0.35">
      <c r="A249" s="3"/>
      <c r="B249" s="3"/>
      <c r="C249" s="3"/>
      <c r="D249" s="3"/>
      <c r="E249" s="3"/>
      <c r="F249" s="3"/>
      <c r="G249" s="3"/>
      <c r="H249" s="3"/>
      <c r="I249" s="3"/>
      <c r="J249" s="3"/>
      <c r="K249" s="3"/>
      <c r="L249" s="3"/>
      <c r="M249" s="3"/>
      <c r="N249" s="3"/>
      <c r="O249" s="3"/>
      <c r="P249" s="3"/>
      <c r="Q249" s="3"/>
      <c r="R249" s="3"/>
      <c r="S249" s="3"/>
      <c r="T249" s="3"/>
      <c r="U249" s="3"/>
      <c r="V249" s="3"/>
      <c r="W249" s="3"/>
    </row>
    <row r="250" spans="1:47" x14ac:dyDescent="0.35">
      <c r="A250" s="3"/>
      <c r="B250" s="3"/>
      <c r="C250" s="3"/>
      <c r="D250" s="3"/>
      <c r="E250" s="3"/>
      <c r="F250" s="3"/>
      <c r="G250" s="3"/>
      <c r="H250" s="3"/>
      <c r="I250" s="3"/>
      <c r="J250" s="3"/>
      <c r="K250" s="3"/>
      <c r="L250" s="3"/>
      <c r="M250" s="3"/>
      <c r="N250" s="3"/>
      <c r="O250" s="3"/>
      <c r="P250" s="3"/>
      <c r="Q250" s="3"/>
      <c r="R250" s="3"/>
      <c r="S250" s="3"/>
      <c r="T250" s="3"/>
      <c r="U250" s="3"/>
      <c r="V250" s="3"/>
      <c r="W250" s="3"/>
    </row>
    <row r="251" spans="1:47" x14ac:dyDescent="0.35">
      <c r="A251" s="3"/>
      <c r="B251" s="3"/>
      <c r="C251" s="3"/>
      <c r="D251" s="3"/>
      <c r="E251" s="3"/>
      <c r="F251" s="3"/>
      <c r="G251" s="3"/>
      <c r="H251" s="3"/>
      <c r="I251" s="3"/>
      <c r="J251" s="3"/>
      <c r="K251" s="3"/>
      <c r="L251" s="3"/>
      <c r="M251" s="3"/>
      <c r="N251" s="3"/>
      <c r="O251" s="3"/>
      <c r="P251" s="3"/>
      <c r="Q251" s="3"/>
      <c r="R251" s="3"/>
      <c r="S251" s="3"/>
      <c r="T251" s="3"/>
      <c r="U251" s="3"/>
      <c r="V251" s="3"/>
      <c r="W251" s="3"/>
    </row>
    <row r="252" spans="1:47" x14ac:dyDescent="0.35">
      <c r="A252" s="3"/>
      <c r="B252" s="3"/>
      <c r="C252" s="3"/>
      <c r="D252" s="3"/>
      <c r="E252" s="3"/>
      <c r="F252" s="3"/>
      <c r="G252" s="3"/>
      <c r="H252" s="3"/>
      <c r="I252" s="3"/>
      <c r="J252" s="3"/>
      <c r="K252" s="3"/>
      <c r="L252" s="3"/>
      <c r="M252" s="3"/>
      <c r="N252" s="3"/>
      <c r="O252" s="3"/>
      <c r="P252" s="3"/>
      <c r="Q252" s="3"/>
      <c r="R252" s="3"/>
      <c r="S252" s="3"/>
      <c r="T252" s="3"/>
      <c r="U252" s="3"/>
      <c r="V252" s="3"/>
      <c r="W252" s="3"/>
    </row>
    <row r="253" spans="1:47" x14ac:dyDescent="0.35">
      <c r="A253" s="3"/>
      <c r="B253" s="3"/>
      <c r="C253" s="3"/>
      <c r="D253" s="3"/>
      <c r="E253" s="3"/>
      <c r="F253" s="3"/>
      <c r="G253" s="3"/>
      <c r="H253" s="3"/>
      <c r="I253" s="3"/>
      <c r="J253" s="3"/>
      <c r="K253" s="3"/>
      <c r="L253" s="3"/>
      <c r="M253" s="3"/>
      <c r="N253" s="3"/>
      <c r="O253" s="3"/>
      <c r="P253" s="3"/>
      <c r="Q253" s="3"/>
      <c r="R253" s="3"/>
      <c r="S253" s="3"/>
      <c r="T253" s="3"/>
      <c r="U253" s="3"/>
      <c r="V253" s="3"/>
      <c r="W253" s="3"/>
    </row>
    <row r="254" spans="1:47" x14ac:dyDescent="0.35">
      <c r="A254" s="3"/>
      <c r="B254" s="3"/>
      <c r="C254" s="3"/>
      <c r="D254" s="3"/>
      <c r="E254" s="3"/>
      <c r="F254" s="3"/>
      <c r="G254" s="3"/>
      <c r="H254" s="3"/>
      <c r="I254" s="3"/>
      <c r="J254" s="3"/>
      <c r="K254" s="3"/>
      <c r="L254" s="3"/>
      <c r="M254" s="3"/>
      <c r="N254" s="3"/>
      <c r="O254" s="3"/>
      <c r="P254" s="3"/>
      <c r="Q254" s="3"/>
      <c r="R254" s="3"/>
      <c r="S254" s="3"/>
      <c r="T254" s="3"/>
      <c r="U254" s="3"/>
      <c r="V254" s="3"/>
      <c r="W254" s="3"/>
    </row>
    <row r="255" spans="1:47" x14ac:dyDescent="0.35">
      <c r="A255" s="3"/>
      <c r="B255" s="3"/>
      <c r="C255" s="3"/>
      <c r="D255" s="3"/>
      <c r="E255" s="3"/>
      <c r="F255" s="3"/>
      <c r="G255" s="3"/>
      <c r="H255" s="3"/>
      <c r="I255" s="3"/>
      <c r="J255" s="3"/>
      <c r="K255" s="3"/>
      <c r="L255" s="3"/>
      <c r="M255" s="3"/>
      <c r="N255" s="3"/>
      <c r="O255" s="3"/>
      <c r="P255" s="3"/>
      <c r="Q255" s="3"/>
      <c r="R255" s="3"/>
      <c r="S255" s="3"/>
      <c r="T255" s="3"/>
      <c r="U255" s="3"/>
      <c r="V255" s="3"/>
      <c r="W255" s="3"/>
    </row>
    <row r="256" spans="1:47" x14ac:dyDescent="0.35">
      <c r="A256" s="3"/>
      <c r="B256" s="3"/>
      <c r="C256" s="3"/>
      <c r="D256" s="3"/>
      <c r="E256" s="3"/>
      <c r="F256" s="3"/>
      <c r="G256" s="3"/>
      <c r="H256" s="3"/>
      <c r="I256" s="3"/>
      <c r="J256" s="3"/>
      <c r="K256" s="3"/>
      <c r="L256" s="3"/>
      <c r="M256" s="3"/>
      <c r="N256" s="3"/>
      <c r="O256" s="3"/>
      <c r="P256" s="3"/>
      <c r="Q256" s="3"/>
      <c r="R256" s="3"/>
      <c r="S256" s="3"/>
      <c r="T256" s="3"/>
      <c r="U256" s="3"/>
      <c r="V256" s="3"/>
      <c r="W256" s="3"/>
    </row>
    <row r="257" spans="1:23" x14ac:dyDescent="0.35">
      <c r="A257" s="3"/>
      <c r="B257" s="3"/>
      <c r="C257" s="3"/>
      <c r="D257" s="3"/>
      <c r="E257" s="3"/>
      <c r="F257" s="3"/>
      <c r="G257" s="3"/>
      <c r="H257" s="3"/>
      <c r="I257" s="3"/>
      <c r="J257" s="3"/>
      <c r="K257" s="3"/>
      <c r="L257" s="3"/>
      <c r="M257" s="3"/>
      <c r="N257" s="3"/>
      <c r="O257" s="3"/>
      <c r="P257" s="3"/>
      <c r="Q257" s="3"/>
      <c r="R257" s="3"/>
      <c r="S257" s="3"/>
      <c r="T257" s="3"/>
      <c r="U257" s="3"/>
      <c r="V257" s="3"/>
      <c r="W257" s="3"/>
    </row>
    <row r="258" spans="1:23" x14ac:dyDescent="0.35">
      <c r="A258" s="3"/>
      <c r="B258" s="3"/>
      <c r="C258" s="3"/>
      <c r="D258" s="3"/>
      <c r="E258" s="3"/>
      <c r="F258" s="3"/>
      <c r="G258" s="3"/>
      <c r="H258" s="3"/>
      <c r="I258" s="3"/>
      <c r="J258" s="3"/>
      <c r="K258" s="3"/>
      <c r="L258" s="3"/>
      <c r="M258" s="3"/>
      <c r="N258" s="3"/>
      <c r="O258" s="3"/>
      <c r="P258" s="3"/>
      <c r="Q258" s="3"/>
      <c r="R258" s="3"/>
      <c r="S258" s="3"/>
      <c r="T258" s="3"/>
      <c r="U258" s="3"/>
      <c r="V258" s="3"/>
      <c r="W258" s="3"/>
    </row>
    <row r="259" spans="1:23" x14ac:dyDescent="0.35">
      <c r="A259" s="3"/>
      <c r="B259" s="3"/>
      <c r="C259" s="3"/>
      <c r="D259" s="3"/>
      <c r="E259" s="3"/>
      <c r="F259" s="3"/>
      <c r="G259" s="3"/>
      <c r="H259" s="3"/>
      <c r="I259" s="3"/>
      <c r="J259" s="3"/>
      <c r="K259" s="3"/>
      <c r="L259" s="3"/>
      <c r="M259" s="3"/>
      <c r="N259" s="3"/>
      <c r="O259" s="3"/>
      <c r="P259" s="3"/>
      <c r="Q259" s="3"/>
      <c r="R259" s="3"/>
      <c r="S259" s="3"/>
      <c r="T259" s="3"/>
      <c r="U259" s="3"/>
      <c r="V259" s="3"/>
      <c r="W259" s="3"/>
    </row>
    <row r="260" spans="1:23" x14ac:dyDescent="0.35">
      <c r="A260" s="3"/>
      <c r="B260" s="3"/>
      <c r="C260" s="3"/>
      <c r="D260" s="3"/>
      <c r="E260" s="3"/>
      <c r="F260" s="3"/>
      <c r="G260" s="3"/>
      <c r="H260" s="3"/>
      <c r="I260" s="3"/>
      <c r="J260" s="3"/>
      <c r="K260" s="3"/>
      <c r="L260" s="3"/>
      <c r="M260" s="3"/>
      <c r="N260" s="3"/>
      <c r="O260" s="3"/>
      <c r="P260" s="3"/>
      <c r="Q260" s="3"/>
      <c r="R260" s="3"/>
      <c r="S260" s="3"/>
      <c r="T260" s="3"/>
      <c r="U260" s="3"/>
      <c r="V260" s="3"/>
      <c r="W260" s="3"/>
    </row>
    <row r="261" spans="1:23" x14ac:dyDescent="0.35">
      <c r="A261" s="3"/>
      <c r="B261" s="3"/>
      <c r="C261" s="3"/>
      <c r="D261" s="3"/>
      <c r="E261" s="3"/>
      <c r="F261" s="3"/>
      <c r="G261" s="3"/>
      <c r="H261" s="3"/>
      <c r="I261" s="3"/>
      <c r="J261" s="3"/>
      <c r="K261" s="3"/>
      <c r="L261" s="3"/>
      <c r="M261" s="3"/>
      <c r="N261" s="3"/>
      <c r="O261" s="3"/>
      <c r="P261" s="3"/>
      <c r="Q261" s="3"/>
      <c r="R261" s="3"/>
      <c r="S261" s="3"/>
      <c r="T261" s="3"/>
      <c r="U261" s="3"/>
      <c r="V261" s="3"/>
      <c r="W261" s="3"/>
    </row>
    <row r="262" spans="1:23" x14ac:dyDescent="0.35">
      <c r="A262" s="3"/>
      <c r="B262" s="3"/>
      <c r="C262" s="3"/>
      <c r="D262" s="3"/>
      <c r="E262" s="3"/>
      <c r="F262" s="3"/>
      <c r="G262" s="3"/>
      <c r="H262" s="3"/>
      <c r="I262" s="3"/>
      <c r="J262" s="3"/>
      <c r="K262" s="3"/>
      <c r="L262" s="3"/>
      <c r="M262" s="3"/>
      <c r="N262" s="3"/>
      <c r="O262" s="3"/>
      <c r="P262" s="3"/>
      <c r="Q262" s="3"/>
      <c r="R262" s="3"/>
      <c r="S262" s="3"/>
      <c r="T262" s="3"/>
      <c r="U262" s="3"/>
      <c r="V262" s="3"/>
      <c r="W262" s="3"/>
    </row>
    <row r="263" spans="1:23" x14ac:dyDescent="0.35">
      <c r="A263" s="3"/>
      <c r="B263" s="3"/>
      <c r="C263" s="3"/>
      <c r="D263" s="3"/>
      <c r="E263" s="3"/>
      <c r="F263" s="3"/>
      <c r="G263" s="3"/>
      <c r="H263" s="3"/>
      <c r="I263" s="3"/>
      <c r="J263" s="3"/>
      <c r="K263" s="3"/>
      <c r="L263" s="3"/>
      <c r="M263" s="3"/>
      <c r="N263" s="3"/>
      <c r="O263" s="3"/>
      <c r="P263" s="3"/>
      <c r="Q263" s="3"/>
      <c r="R263" s="3"/>
      <c r="S263" s="3"/>
      <c r="T263" s="3"/>
      <c r="U263" s="3"/>
      <c r="V263" s="3"/>
      <c r="W263" s="3"/>
    </row>
    <row r="264" spans="1:23" x14ac:dyDescent="0.35">
      <c r="A264" s="3"/>
      <c r="B264" s="3"/>
      <c r="C264" s="3"/>
      <c r="D264" s="3"/>
      <c r="E264" s="3"/>
      <c r="F264" s="3"/>
      <c r="G264" s="3"/>
      <c r="H264" s="3"/>
      <c r="I264" s="3"/>
      <c r="J264" s="3"/>
      <c r="K264" s="3"/>
      <c r="L264" s="3"/>
      <c r="M264" s="3"/>
      <c r="N264" s="3"/>
      <c r="O264" s="3"/>
      <c r="P264" s="3"/>
      <c r="Q264" s="3"/>
      <c r="R264" s="3"/>
      <c r="S264" s="3"/>
      <c r="T264" s="3"/>
      <c r="U264" s="3"/>
      <c r="V264" s="3"/>
      <c r="W264" s="3"/>
    </row>
    <row r="265" spans="1:23" x14ac:dyDescent="0.35">
      <c r="A265" s="3"/>
      <c r="B265" s="3"/>
      <c r="C265" s="3"/>
      <c r="D265" s="3"/>
      <c r="E265" s="3"/>
      <c r="F265" s="3"/>
      <c r="G265" s="3"/>
      <c r="H265" s="3"/>
      <c r="I265" s="3"/>
      <c r="J265" s="3"/>
      <c r="K265" s="3"/>
      <c r="L265" s="3"/>
      <c r="M265" s="3"/>
      <c r="N265" s="3"/>
      <c r="O265" s="3"/>
      <c r="P265" s="3"/>
      <c r="Q265" s="3"/>
      <c r="R265" s="3"/>
      <c r="S265" s="3"/>
      <c r="T265" s="3"/>
      <c r="U265" s="3"/>
      <c r="V265" s="3"/>
      <c r="W265" s="3"/>
    </row>
    <row r="266" spans="1:23" x14ac:dyDescent="0.35">
      <c r="A266" s="3"/>
      <c r="B266" s="3"/>
      <c r="C266" s="3"/>
      <c r="D266" s="3"/>
      <c r="E266" s="3"/>
      <c r="F266" s="3"/>
      <c r="G266" s="3"/>
      <c r="H266" s="3"/>
      <c r="I266" s="3"/>
      <c r="J266" s="3"/>
      <c r="K266" s="3"/>
      <c r="L266" s="3"/>
      <c r="M266" s="3"/>
      <c r="N266" s="3"/>
      <c r="O266" s="3"/>
      <c r="P266" s="3"/>
      <c r="Q266" s="3"/>
      <c r="R266" s="3"/>
      <c r="S266" s="3"/>
      <c r="T266" s="3"/>
      <c r="U266" s="3"/>
      <c r="V266" s="3"/>
      <c r="W266" s="3"/>
    </row>
    <row r="267" spans="1:23" x14ac:dyDescent="0.35">
      <c r="A267" s="3"/>
      <c r="B267" s="3"/>
      <c r="C267" s="3"/>
      <c r="D267" s="3"/>
      <c r="E267" s="3"/>
      <c r="F267" s="3"/>
      <c r="G267" s="3"/>
      <c r="H267" s="3"/>
      <c r="I267" s="3"/>
      <c r="J267" s="3"/>
      <c r="K267" s="3"/>
      <c r="L267" s="3"/>
      <c r="M267" s="3"/>
      <c r="N267" s="3"/>
      <c r="O267" s="3"/>
      <c r="P267" s="3"/>
      <c r="Q267" s="3"/>
      <c r="R267" s="3"/>
      <c r="S267" s="3"/>
      <c r="T267" s="3"/>
      <c r="U267" s="3"/>
      <c r="V267" s="3"/>
      <c r="W267" s="3"/>
    </row>
    <row r="268" spans="1:23" x14ac:dyDescent="0.35">
      <c r="A268" s="3"/>
      <c r="B268" s="3"/>
      <c r="C268" s="3"/>
      <c r="D268" s="3"/>
      <c r="E268" s="3"/>
      <c r="F268" s="3"/>
      <c r="G268" s="3"/>
      <c r="H268" s="3"/>
      <c r="I268" s="3"/>
      <c r="J268" s="3"/>
      <c r="K268" s="3"/>
      <c r="L268" s="3"/>
      <c r="M268" s="3"/>
      <c r="N268" s="3"/>
      <c r="O268" s="3"/>
      <c r="P268" s="3"/>
      <c r="Q268" s="3"/>
      <c r="R268" s="3"/>
      <c r="S268" s="3"/>
      <c r="T268" s="3"/>
      <c r="U268" s="3"/>
      <c r="V268" s="3"/>
      <c r="W268" s="3"/>
    </row>
    <row r="269" spans="1:23" x14ac:dyDescent="0.35">
      <c r="A269" s="3"/>
      <c r="B269" s="3"/>
      <c r="C269" s="3"/>
      <c r="D269" s="3"/>
      <c r="E269" s="3"/>
      <c r="F269" s="3"/>
      <c r="G269" s="3"/>
      <c r="H269" s="3"/>
      <c r="I269" s="3"/>
      <c r="J269" s="3"/>
      <c r="K269" s="3"/>
      <c r="L269" s="3"/>
      <c r="M269" s="3"/>
      <c r="N269" s="3"/>
      <c r="O269" s="3"/>
      <c r="P269" s="3"/>
      <c r="Q269" s="3"/>
      <c r="R269" s="3"/>
      <c r="S269" s="3"/>
      <c r="T269" s="3"/>
      <c r="U269" s="3"/>
      <c r="V269" s="3"/>
      <c r="W269" s="3"/>
    </row>
    <row r="270" spans="1:23" x14ac:dyDescent="0.35">
      <c r="A270" s="3"/>
      <c r="B270" s="3"/>
      <c r="C270" s="3"/>
      <c r="D270" s="3"/>
      <c r="E270" s="3"/>
      <c r="F270" s="3"/>
      <c r="G270" s="3"/>
      <c r="H270" s="3"/>
      <c r="I270" s="3"/>
      <c r="J270" s="3"/>
      <c r="K270" s="3"/>
      <c r="L270" s="3"/>
      <c r="M270" s="3"/>
      <c r="N270" s="3"/>
      <c r="O270" s="3"/>
      <c r="P270" s="3"/>
      <c r="Q270" s="3"/>
      <c r="R270" s="3"/>
      <c r="S270" s="3"/>
      <c r="T270" s="3"/>
      <c r="U270" s="3"/>
      <c r="V270" s="3"/>
      <c r="W270" s="3"/>
    </row>
    <row r="271" spans="1:23" x14ac:dyDescent="0.35">
      <c r="A271" s="3"/>
      <c r="B271" s="3"/>
      <c r="C271" s="3"/>
      <c r="D271" s="3"/>
      <c r="E271" s="3"/>
      <c r="F271" s="3"/>
      <c r="G271" s="3"/>
      <c r="H271" s="3"/>
      <c r="I271" s="3"/>
      <c r="J271" s="3"/>
      <c r="K271" s="3"/>
      <c r="L271" s="3"/>
      <c r="M271" s="3"/>
      <c r="N271" s="3"/>
      <c r="O271" s="3"/>
      <c r="P271" s="3"/>
      <c r="Q271" s="3"/>
      <c r="R271" s="3"/>
      <c r="S271" s="3"/>
      <c r="T271" s="3"/>
      <c r="U271" s="3"/>
      <c r="V271" s="3"/>
      <c r="W271" s="3"/>
    </row>
    <row r="272" spans="1:23" x14ac:dyDescent="0.35">
      <c r="A272" s="3"/>
      <c r="B272" s="3"/>
      <c r="C272" s="3"/>
      <c r="D272" s="3"/>
      <c r="E272" s="3"/>
      <c r="F272" s="3"/>
      <c r="G272" s="3"/>
      <c r="H272" s="3"/>
      <c r="I272" s="3"/>
      <c r="J272" s="3"/>
      <c r="K272" s="3"/>
      <c r="L272" s="3"/>
      <c r="M272" s="3"/>
      <c r="N272" s="3"/>
      <c r="O272" s="3"/>
      <c r="P272" s="3"/>
      <c r="Q272" s="3"/>
      <c r="R272" s="3"/>
      <c r="S272" s="3"/>
      <c r="T272" s="3"/>
      <c r="U272" s="3"/>
      <c r="V272" s="3"/>
      <c r="W272" s="3"/>
    </row>
    <row r="273" spans="1:23" x14ac:dyDescent="0.35">
      <c r="A273" s="3"/>
      <c r="B273" s="3"/>
      <c r="C273" s="3"/>
      <c r="D273" s="3"/>
      <c r="E273" s="3"/>
      <c r="F273" s="3"/>
      <c r="G273" s="3"/>
      <c r="H273" s="3"/>
      <c r="I273" s="3"/>
      <c r="J273" s="3"/>
      <c r="K273" s="3"/>
      <c r="L273" s="3"/>
      <c r="M273" s="3"/>
      <c r="N273" s="3"/>
      <c r="O273" s="3"/>
      <c r="P273" s="3"/>
      <c r="Q273" s="3"/>
      <c r="R273" s="3"/>
      <c r="S273" s="3"/>
      <c r="T273" s="3"/>
      <c r="U273" s="3"/>
      <c r="V273" s="3"/>
      <c r="W273" s="3"/>
    </row>
    <row r="274" spans="1:23" x14ac:dyDescent="0.35">
      <c r="A274" s="3"/>
      <c r="B274" s="3"/>
      <c r="C274" s="3"/>
      <c r="D274" s="3"/>
      <c r="E274" s="3"/>
      <c r="F274" s="3"/>
      <c r="G274" s="3"/>
      <c r="H274" s="3"/>
      <c r="I274" s="3"/>
      <c r="J274" s="3"/>
      <c r="K274" s="3"/>
      <c r="L274" s="3"/>
      <c r="M274" s="3"/>
      <c r="N274" s="3"/>
      <c r="O274" s="3"/>
      <c r="P274" s="3"/>
      <c r="Q274" s="3"/>
      <c r="R274" s="3"/>
      <c r="S274" s="3"/>
      <c r="T274" s="3"/>
      <c r="U274" s="3"/>
      <c r="V274" s="3"/>
      <c r="W274" s="3"/>
    </row>
    <row r="275" spans="1:23" x14ac:dyDescent="0.35">
      <c r="A275" s="3"/>
      <c r="B275" s="3"/>
      <c r="C275" s="3"/>
      <c r="D275" s="3"/>
      <c r="E275" s="3"/>
      <c r="F275" s="3"/>
      <c r="G275" s="3"/>
      <c r="H275" s="3"/>
      <c r="I275" s="3"/>
      <c r="J275" s="3"/>
      <c r="K275" s="3"/>
      <c r="L275" s="3"/>
      <c r="M275" s="3"/>
      <c r="N275" s="3"/>
      <c r="O275" s="3"/>
      <c r="P275" s="3"/>
      <c r="Q275" s="3"/>
      <c r="R275" s="3"/>
      <c r="S275" s="3"/>
      <c r="T275" s="3"/>
      <c r="U275" s="3"/>
      <c r="V275" s="3"/>
      <c r="W275" s="3"/>
    </row>
    <row r="276" spans="1:23" x14ac:dyDescent="0.35">
      <c r="A276" s="3"/>
      <c r="B276" s="3"/>
      <c r="C276" s="3"/>
      <c r="D276" s="3"/>
      <c r="E276" s="3"/>
      <c r="F276" s="3"/>
      <c r="G276" s="3"/>
      <c r="H276" s="3"/>
      <c r="I276" s="3"/>
      <c r="J276" s="3"/>
      <c r="K276" s="3"/>
      <c r="L276" s="3"/>
      <c r="M276" s="3"/>
      <c r="N276" s="3"/>
      <c r="O276" s="3"/>
      <c r="P276" s="3"/>
      <c r="Q276" s="3"/>
      <c r="R276" s="3"/>
      <c r="S276" s="3"/>
      <c r="T276" s="3"/>
      <c r="U276" s="3"/>
      <c r="V276" s="3"/>
      <c r="W276" s="3"/>
    </row>
    <row r="277" spans="1:23" x14ac:dyDescent="0.35">
      <c r="A277" s="3"/>
      <c r="B277" s="3"/>
      <c r="C277" s="3"/>
      <c r="D277" s="3"/>
      <c r="E277" s="3"/>
      <c r="F277" s="3"/>
      <c r="G277" s="3"/>
      <c r="H277" s="3"/>
      <c r="I277" s="3"/>
      <c r="J277" s="3"/>
      <c r="K277" s="3"/>
      <c r="L277" s="3"/>
      <c r="M277" s="3"/>
      <c r="N277" s="3"/>
      <c r="O277" s="3"/>
      <c r="P277" s="3"/>
      <c r="Q277" s="3"/>
      <c r="R277" s="3"/>
      <c r="S277" s="3"/>
      <c r="T277" s="3"/>
      <c r="U277" s="3"/>
      <c r="V277" s="3"/>
      <c r="W277" s="3"/>
    </row>
    <row r="278" spans="1:23" x14ac:dyDescent="0.35">
      <c r="A278" s="3"/>
      <c r="B278" s="3"/>
      <c r="C278" s="3"/>
      <c r="D278" s="3"/>
      <c r="E278" s="3"/>
      <c r="F278" s="3"/>
      <c r="G278" s="3"/>
      <c r="H278" s="3"/>
      <c r="I278" s="3"/>
      <c r="J278" s="3"/>
      <c r="K278" s="3"/>
      <c r="L278" s="3"/>
      <c r="M278" s="3"/>
      <c r="N278" s="3"/>
      <c r="O278" s="3"/>
      <c r="P278" s="3"/>
      <c r="Q278" s="3"/>
      <c r="R278" s="3"/>
      <c r="S278" s="3"/>
      <c r="T278" s="3"/>
      <c r="U278" s="3"/>
      <c r="V278" s="3"/>
      <c r="W278" s="3"/>
    </row>
    <row r="279" spans="1:23" x14ac:dyDescent="0.35">
      <c r="A279" s="3"/>
      <c r="B279" s="3"/>
      <c r="C279" s="3"/>
      <c r="D279" s="3"/>
      <c r="E279" s="3"/>
      <c r="F279" s="3"/>
      <c r="G279" s="3"/>
      <c r="H279" s="3"/>
      <c r="I279" s="3"/>
      <c r="J279" s="3"/>
      <c r="K279" s="3"/>
      <c r="L279" s="3"/>
      <c r="M279" s="3"/>
      <c r="N279" s="3"/>
      <c r="O279" s="3"/>
      <c r="P279" s="3"/>
      <c r="Q279" s="3"/>
      <c r="R279" s="3"/>
      <c r="S279" s="3"/>
      <c r="T279" s="3"/>
      <c r="U279" s="3"/>
      <c r="V279" s="3"/>
      <c r="W279" s="3"/>
    </row>
    <row r="280" spans="1:23" x14ac:dyDescent="0.35">
      <c r="A280" s="3"/>
      <c r="B280" s="3"/>
      <c r="C280" s="3"/>
      <c r="D280" s="3"/>
      <c r="E280" s="3"/>
      <c r="F280" s="3"/>
      <c r="G280" s="3"/>
      <c r="H280" s="3"/>
      <c r="I280" s="3"/>
      <c r="J280" s="3"/>
      <c r="K280" s="3"/>
      <c r="L280" s="3"/>
      <c r="M280" s="3"/>
      <c r="N280" s="3"/>
      <c r="O280" s="3"/>
      <c r="P280" s="3"/>
      <c r="Q280" s="3"/>
      <c r="R280" s="3"/>
      <c r="S280" s="3"/>
      <c r="T280" s="3"/>
      <c r="U280" s="3"/>
      <c r="V280" s="3"/>
      <c r="W280" s="3"/>
    </row>
    <row r="281" spans="1:23" x14ac:dyDescent="0.35">
      <c r="A281" s="3"/>
      <c r="B281" s="3"/>
      <c r="C281" s="3"/>
      <c r="D281" s="3"/>
      <c r="E281" s="3"/>
      <c r="F281" s="3"/>
      <c r="G281" s="3"/>
      <c r="H281" s="3"/>
      <c r="I281" s="3"/>
      <c r="J281" s="3"/>
      <c r="K281" s="3"/>
      <c r="L281" s="3"/>
      <c r="M281" s="3"/>
      <c r="N281" s="3"/>
      <c r="O281" s="3"/>
      <c r="P281" s="3"/>
      <c r="Q281" s="3"/>
      <c r="R281" s="3"/>
      <c r="S281" s="3"/>
      <c r="T281" s="3"/>
      <c r="U281" s="3"/>
      <c r="V281" s="3"/>
      <c r="W281" s="3"/>
    </row>
    <row r="282" spans="1:23" x14ac:dyDescent="0.35">
      <c r="A282" s="3"/>
      <c r="B282" s="3"/>
      <c r="C282" s="3"/>
      <c r="D282" s="3"/>
      <c r="E282" s="3"/>
      <c r="F282" s="3"/>
      <c r="G282" s="3"/>
      <c r="H282" s="3"/>
      <c r="I282" s="3"/>
      <c r="J282" s="3"/>
      <c r="K282" s="3"/>
      <c r="L282" s="3"/>
      <c r="M282" s="3"/>
      <c r="N282" s="3"/>
      <c r="O282" s="3"/>
      <c r="P282" s="3"/>
      <c r="Q282" s="3"/>
      <c r="R282" s="3"/>
      <c r="S282" s="3"/>
      <c r="T282" s="3"/>
      <c r="U282" s="3"/>
      <c r="V282" s="3"/>
      <c r="W282" s="3"/>
    </row>
    <row r="283" spans="1:23" x14ac:dyDescent="0.35">
      <c r="A283" s="3"/>
      <c r="B283" s="3"/>
      <c r="C283" s="3"/>
      <c r="D283" s="3"/>
      <c r="E283" s="3"/>
      <c r="F283" s="3"/>
      <c r="G283" s="3"/>
      <c r="H283" s="3"/>
      <c r="I283" s="3"/>
      <c r="J283" s="3"/>
      <c r="K283" s="3"/>
      <c r="L283" s="3"/>
      <c r="M283" s="3"/>
      <c r="N283" s="3"/>
      <c r="O283" s="3"/>
      <c r="P283" s="3"/>
      <c r="Q283" s="3"/>
      <c r="R283" s="3"/>
      <c r="S283" s="3"/>
      <c r="T283" s="3"/>
      <c r="U283" s="3"/>
      <c r="V283" s="3"/>
      <c r="W283" s="3"/>
    </row>
    <row r="284" spans="1:23" x14ac:dyDescent="0.35">
      <c r="A284" s="3"/>
      <c r="B284" s="3"/>
      <c r="C284" s="3"/>
      <c r="D284" s="3"/>
      <c r="E284" s="3"/>
      <c r="F284" s="3"/>
      <c r="G284" s="3"/>
      <c r="H284" s="3"/>
      <c r="I284" s="3"/>
      <c r="J284" s="3"/>
      <c r="K284" s="3"/>
      <c r="L284" s="3"/>
      <c r="M284" s="3"/>
      <c r="N284" s="3"/>
      <c r="O284" s="3"/>
      <c r="P284" s="3"/>
      <c r="Q284" s="3"/>
      <c r="R284" s="3"/>
      <c r="S284" s="3"/>
      <c r="T284" s="3"/>
      <c r="U284" s="3"/>
      <c r="V284" s="3"/>
      <c r="W284" s="3"/>
    </row>
    <row r="285" spans="1:23" x14ac:dyDescent="0.35">
      <c r="A285" s="3"/>
      <c r="B285" s="3"/>
      <c r="C285" s="3"/>
      <c r="D285" s="3"/>
      <c r="E285" s="3"/>
      <c r="F285" s="3"/>
      <c r="G285" s="3"/>
      <c r="H285" s="3"/>
      <c r="I285" s="3"/>
      <c r="J285" s="3"/>
      <c r="K285" s="3"/>
      <c r="L285" s="3"/>
      <c r="M285" s="3"/>
      <c r="N285" s="3"/>
      <c r="O285" s="3"/>
      <c r="P285" s="3"/>
      <c r="Q285" s="3"/>
      <c r="R285" s="3"/>
      <c r="S285" s="3"/>
      <c r="T285" s="3"/>
      <c r="U285" s="3"/>
      <c r="V285" s="3"/>
      <c r="W285" s="3"/>
    </row>
    <row r="286" spans="1:23" x14ac:dyDescent="0.35">
      <c r="A286" s="3"/>
      <c r="B286" s="3"/>
      <c r="C286" s="3"/>
      <c r="D286" s="3"/>
      <c r="E286" s="3"/>
      <c r="F286" s="3"/>
      <c r="G286" s="3"/>
      <c r="H286" s="3"/>
      <c r="I286" s="3"/>
      <c r="J286" s="3"/>
      <c r="K286" s="3"/>
      <c r="L286" s="3"/>
      <c r="M286" s="3"/>
      <c r="N286" s="3"/>
      <c r="O286" s="3"/>
      <c r="P286" s="3"/>
      <c r="Q286" s="3"/>
      <c r="R286" s="3"/>
      <c r="S286" s="3"/>
      <c r="T286" s="3"/>
      <c r="U286" s="3"/>
      <c r="V286" s="3"/>
      <c r="W286" s="3"/>
    </row>
    <row r="287" spans="1:23" x14ac:dyDescent="0.35">
      <c r="A287" s="3"/>
      <c r="B287" s="3"/>
      <c r="C287" s="3"/>
      <c r="D287" s="3"/>
      <c r="E287" s="3"/>
      <c r="F287" s="3"/>
      <c r="G287" s="3"/>
      <c r="H287" s="3"/>
      <c r="I287" s="3"/>
      <c r="J287" s="3"/>
      <c r="K287" s="3"/>
      <c r="L287" s="3"/>
      <c r="M287" s="3"/>
      <c r="N287" s="3"/>
      <c r="O287" s="3"/>
      <c r="P287" s="3"/>
      <c r="Q287" s="3"/>
      <c r="R287" s="3"/>
      <c r="S287" s="3"/>
      <c r="T287" s="3"/>
      <c r="U287" s="3"/>
      <c r="V287" s="3"/>
      <c r="W287" s="3"/>
    </row>
    <row r="288" spans="1:23" x14ac:dyDescent="0.35">
      <c r="A288" s="3"/>
      <c r="B288" s="3"/>
      <c r="C288" s="3"/>
      <c r="D288" s="3"/>
      <c r="E288" s="3"/>
      <c r="F288" s="3"/>
      <c r="G288" s="3"/>
      <c r="H288" s="3"/>
      <c r="I288" s="3"/>
      <c r="J288" s="3"/>
      <c r="K288" s="3"/>
      <c r="L288" s="3"/>
      <c r="M288" s="3"/>
      <c r="N288" s="3"/>
      <c r="O288" s="3"/>
      <c r="P288" s="3"/>
      <c r="Q288" s="3"/>
      <c r="R288" s="3"/>
      <c r="S288" s="3"/>
      <c r="T288" s="3"/>
      <c r="U288" s="3"/>
      <c r="V288" s="3"/>
      <c r="W288" s="3"/>
    </row>
    <row r="289" spans="1:23" x14ac:dyDescent="0.35">
      <c r="A289" s="3"/>
      <c r="B289" s="3"/>
      <c r="C289" s="3"/>
      <c r="D289" s="3"/>
      <c r="E289" s="3"/>
      <c r="F289" s="3"/>
      <c r="G289" s="3"/>
      <c r="H289" s="3"/>
      <c r="I289" s="3"/>
      <c r="J289" s="3"/>
      <c r="K289" s="3"/>
      <c r="L289" s="3"/>
      <c r="M289" s="3"/>
      <c r="N289" s="3"/>
      <c r="O289" s="3"/>
      <c r="P289" s="3"/>
      <c r="Q289" s="3"/>
      <c r="R289" s="3"/>
      <c r="S289" s="3"/>
      <c r="T289" s="3"/>
      <c r="U289" s="3"/>
      <c r="V289" s="3"/>
      <c r="W289" s="3"/>
    </row>
    <row r="290" spans="1:23" x14ac:dyDescent="0.35">
      <c r="A290" s="3"/>
      <c r="B290" s="3"/>
      <c r="C290" s="3"/>
      <c r="D290" s="3"/>
      <c r="E290" s="3"/>
      <c r="F290" s="3"/>
      <c r="G290" s="3"/>
      <c r="H290" s="3"/>
      <c r="I290" s="3"/>
      <c r="J290" s="3"/>
      <c r="K290" s="3"/>
      <c r="L290" s="3"/>
      <c r="M290" s="3"/>
      <c r="N290" s="3"/>
      <c r="O290" s="3"/>
      <c r="P290" s="3"/>
      <c r="Q290" s="3"/>
      <c r="R290" s="3"/>
      <c r="S290" s="3"/>
      <c r="T290" s="3"/>
      <c r="U290" s="3"/>
      <c r="V290" s="3"/>
      <c r="W290" s="3"/>
    </row>
    <row r="291" spans="1:23" x14ac:dyDescent="0.35">
      <c r="A291" s="3"/>
      <c r="B291" s="3"/>
      <c r="C291" s="3"/>
      <c r="D291" s="3"/>
      <c r="E291" s="3"/>
      <c r="F291" s="3"/>
      <c r="G291" s="3"/>
      <c r="H291" s="3"/>
      <c r="I291" s="3"/>
      <c r="J291" s="3"/>
      <c r="K291" s="3"/>
      <c r="L291" s="3"/>
      <c r="M291" s="3"/>
      <c r="N291" s="3"/>
      <c r="O291" s="3"/>
      <c r="P291" s="3"/>
      <c r="Q291" s="3"/>
      <c r="R291" s="3"/>
      <c r="S291" s="3"/>
      <c r="T291" s="3"/>
      <c r="U291" s="3"/>
      <c r="V291" s="3"/>
      <c r="W291" s="3"/>
    </row>
    <row r="292" spans="1:23" x14ac:dyDescent="0.35">
      <c r="A292" s="3"/>
      <c r="B292" s="3"/>
      <c r="C292" s="3"/>
      <c r="D292" s="3"/>
      <c r="E292" s="3"/>
      <c r="F292" s="3"/>
      <c r="G292" s="3"/>
      <c r="H292" s="3"/>
      <c r="I292" s="3"/>
      <c r="J292" s="3"/>
      <c r="K292" s="3"/>
      <c r="L292" s="3"/>
      <c r="M292" s="3"/>
      <c r="N292" s="3"/>
      <c r="O292" s="3"/>
      <c r="P292" s="3"/>
      <c r="Q292" s="3"/>
      <c r="R292" s="3"/>
      <c r="S292" s="3"/>
      <c r="T292" s="3"/>
      <c r="U292" s="3"/>
      <c r="V292" s="3"/>
      <c r="W292" s="3"/>
    </row>
    <row r="293" spans="1:23" x14ac:dyDescent="0.35">
      <c r="A293" s="3"/>
      <c r="B293" s="3"/>
      <c r="C293" s="3"/>
      <c r="D293" s="3"/>
      <c r="E293" s="3"/>
      <c r="F293" s="3"/>
      <c r="G293" s="3"/>
      <c r="H293" s="3"/>
      <c r="I293" s="3"/>
      <c r="J293" s="3"/>
      <c r="K293" s="3"/>
      <c r="L293" s="3"/>
      <c r="M293" s="3"/>
      <c r="N293" s="3"/>
      <c r="O293" s="3"/>
      <c r="P293" s="3"/>
      <c r="Q293" s="3"/>
      <c r="R293" s="3"/>
      <c r="S293" s="3"/>
      <c r="T293" s="3"/>
      <c r="U293" s="3"/>
      <c r="V293" s="3"/>
      <c r="W293" s="3"/>
    </row>
    <row r="294" spans="1:23" x14ac:dyDescent="0.35">
      <c r="A294" s="3"/>
      <c r="B294" s="3"/>
      <c r="C294" s="3"/>
      <c r="D294" s="3"/>
      <c r="E294" s="3"/>
      <c r="F294" s="3"/>
      <c r="G294" s="3"/>
      <c r="H294" s="3"/>
      <c r="I294" s="3"/>
      <c r="J294" s="3"/>
      <c r="K294" s="3"/>
      <c r="L294" s="3"/>
      <c r="M294" s="3"/>
      <c r="N294" s="3"/>
      <c r="O294" s="3"/>
      <c r="P294" s="3"/>
      <c r="Q294" s="3"/>
      <c r="R294" s="3"/>
      <c r="S294" s="3"/>
      <c r="T294" s="3"/>
      <c r="U294" s="3"/>
      <c r="V294" s="3"/>
      <c r="W294" s="3"/>
    </row>
    <row r="295" spans="1:23" x14ac:dyDescent="0.35">
      <c r="A295" s="3"/>
      <c r="B295" s="3"/>
      <c r="C295" s="3"/>
      <c r="D295" s="3"/>
      <c r="E295" s="3"/>
      <c r="F295" s="3"/>
      <c r="G295" s="3"/>
      <c r="H295" s="3"/>
      <c r="I295" s="3"/>
      <c r="J295" s="3"/>
      <c r="K295" s="3"/>
      <c r="L295" s="3"/>
      <c r="M295" s="3"/>
      <c r="N295" s="3"/>
      <c r="O295" s="3"/>
      <c r="P295" s="3"/>
      <c r="Q295" s="3"/>
      <c r="R295" s="3"/>
      <c r="S295" s="3"/>
      <c r="T295" s="3"/>
      <c r="U295" s="3"/>
      <c r="V295" s="3"/>
      <c r="W295" s="3"/>
    </row>
    <row r="296" spans="1:23" x14ac:dyDescent="0.35">
      <c r="A296" s="3"/>
      <c r="B296" s="3"/>
      <c r="C296" s="3"/>
      <c r="D296" s="3"/>
      <c r="E296" s="3"/>
      <c r="F296" s="3"/>
      <c r="G296" s="3"/>
      <c r="H296" s="3"/>
      <c r="I296" s="3"/>
      <c r="J296" s="3"/>
      <c r="K296" s="3"/>
      <c r="L296" s="3"/>
      <c r="M296" s="3"/>
      <c r="N296" s="3"/>
      <c r="O296" s="3"/>
      <c r="P296" s="3"/>
      <c r="Q296" s="3"/>
      <c r="R296" s="3"/>
      <c r="S296" s="3"/>
      <c r="T296" s="3"/>
      <c r="U296" s="3"/>
      <c r="V296" s="3"/>
      <c r="W296" s="3"/>
    </row>
    <row r="297" spans="1:23" x14ac:dyDescent="0.35">
      <c r="A297" s="3"/>
      <c r="B297" s="3"/>
      <c r="C297" s="3"/>
      <c r="D297" s="3"/>
      <c r="E297" s="3"/>
      <c r="F297" s="3"/>
      <c r="G297" s="3"/>
      <c r="H297" s="3"/>
      <c r="I297" s="3"/>
      <c r="J297" s="3"/>
      <c r="K297" s="3"/>
      <c r="L297" s="3"/>
      <c r="M297" s="3"/>
      <c r="N297" s="3"/>
      <c r="O297" s="3"/>
      <c r="P297" s="3"/>
      <c r="Q297" s="3"/>
      <c r="R297" s="3"/>
      <c r="S297" s="3"/>
      <c r="T297" s="3"/>
      <c r="U297" s="3"/>
      <c r="V297" s="3"/>
      <c r="W297" s="3"/>
    </row>
    <row r="298" spans="1:23" x14ac:dyDescent="0.35">
      <c r="A298" s="3"/>
      <c r="B298" s="3"/>
      <c r="C298" s="3"/>
      <c r="D298" s="3"/>
      <c r="E298" s="3"/>
      <c r="F298" s="3"/>
      <c r="G298" s="3"/>
      <c r="H298" s="3"/>
      <c r="I298" s="3"/>
      <c r="J298" s="3"/>
      <c r="K298" s="3"/>
      <c r="L298" s="3"/>
      <c r="M298" s="3"/>
      <c r="N298" s="3"/>
      <c r="O298" s="3"/>
      <c r="P298" s="3"/>
      <c r="Q298" s="3"/>
      <c r="R298" s="3"/>
      <c r="S298" s="3"/>
      <c r="T298" s="3"/>
      <c r="U298" s="3"/>
      <c r="V298" s="3"/>
      <c r="W298" s="3"/>
    </row>
    <row r="299" spans="1:23" x14ac:dyDescent="0.35">
      <c r="A299" s="3"/>
      <c r="B299" s="3"/>
      <c r="C299" s="3"/>
      <c r="D299" s="3"/>
      <c r="E299" s="3"/>
      <c r="F299" s="3"/>
      <c r="G299" s="3"/>
      <c r="H299" s="3"/>
      <c r="I299" s="3"/>
      <c r="J299" s="3"/>
      <c r="K299" s="3"/>
      <c r="L299" s="3"/>
      <c r="M299" s="3"/>
      <c r="N299" s="3"/>
      <c r="O299" s="3"/>
      <c r="P299" s="3"/>
      <c r="Q299" s="3"/>
      <c r="R299" s="3"/>
      <c r="S299" s="3"/>
      <c r="T299" s="3"/>
      <c r="U299" s="3"/>
      <c r="V299" s="3"/>
      <c r="W299" s="3"/>
    </row>
    <row r="300" spans="1:23" x14ac:dyDescent="0.35">
      <c r="A300" s="3"/>
      <c r="B300" s="3"/>
      <c r="C300" s="3"/>
      <c r="D300" s="3"/>
      <c r="E300" s="3"/>
      <c r="F300" s="3"/>
      <c r="G300" s="3"/>
      <c r="H300" s="3"/>
      <c r="I300" s="3"/>
      <c r="J300" s="3"/>
      <c r="K300" s="3"/>
      <c r="L300" s="3"/>
      <c r="M300" s="3"/>
      <c r="N300" s="3"/>
      <c r="O300" s="3"/>
      <c r="P300" s="3"/>
      <c r="Q300" s="3"/>
      <c r="R300" s="3"/>
      <c r="S300" s="3"/>
      <c r="T300" s="3"/>
      <c r="U300" s="3"/>
      <c r="V300" s="3"/>
      <c r="W300" s="3"/>
    </row>
    <row r="301" spans="1:23" x14ac:dyDescent="0.35">
      <c r="A301" s="3"/>
      <c r="B301" s="3"/>
      <c r="C301" s="3"/>
      <c r="D301" s="3"/>
      <c r="E301" s="3"/>
      <c r="F301" s="3"/>
      <c r="G301" s="3"/>
      <c r="H301" s="3"/>
      <c r="I301" s="3"/>
      <c r="J301" s="3"/>
      <c r="K301" s="3"/>
      <c r="L301" s="3"/>
      <c r="M301" s="3"/>
      <c r="N301" s="3"/>
      <c r="O301" s="3"/>
      <c r="P301" s="3"/>
      <c r="Q301" s="3"/>
      <c r="R301" s="3"/>
      <c r="S301" s="3"/>
      <c r="T301" s="3"/>
      <c r="U301" s="3"/>
      <c r="V301" s="3"/>
      <c r="W301" s="3"/>
    </row>
    <row r="302" spans="1:23" x14ac:dyDescent="0.35">
      <c r="A302" s="3"/>
      <c r="B302" s="3"/>
      <c r="C302" s="3"/>
      <c r="D302" s="3"/>
      <c r="E302" s="3"/>
      <c r="F302" s="3"/>
      <c r="G302" s="3"/>
      <c r="H302" s="3"/>
      <c r="I302" s="3"/>
      <c r="J302" s="3"/>
      <c r="K302" s="3"/>
      <c r="L302" s="3"/>
      <c r="M302" s="3"/>
      <c r="N302" s="3"/>
      <c r="O302" s="3"/>
      <c r="P302" s="3"/>
      <c r="Q302" s="3"/>
      <c r="R302" s="3"/>
      <c r="S302" s="3"/>
      <c r="T302" s="3"/>
      <c r="U302" s="3"/>
      <c r="V302" s="3"/>
      <c r="W302" s="3"/>
    </row>
    <row r="303" spans="1:23" x14ac:dyDescent="0.35">
      <c r="A303" s="3"/>
      <c r="B303" s="3"/>
      <c r="C303" s="3"/>
      <c r="D303" s="3"/>
      <c r="E303" s="3"/>
      <c r="F303" s="3"/>
      <c r="G303" s="3"/>
      <c r="H303" s="3"/>
      <c r="I303" s="3"/>
      <c r="J303" s="3"/>
      <c r="K303" s="3"/>
      <c r="L303" s="3"/>
      <c r="M303" s="3"/>
      <c r="N303" s="3"/>
      <c r="O303" s="3"/>
      <c r="P303" s="3"/>
      <c r="Q303" s="3"/>
      <c r="R303" s="3"/>
      <c r="S303" s="3"/>
      <c r="T303" s="3"/>
      <c r="U303" s="3"/>
      <c r="V303" s="3"/>
      <c r="W303" s="3"/>
    </row>
    <row r="304" spans="1:23" x14ac:dyDescent="0.35">
      <c r="A304" s="3"/>
      <c r="B304" s="3"/>
      <c r="C304" s="3"/>
      <c r="D304" s="3"/>
      <c r="E304" s="3"/>
      <c r="F304" s="3"/>
      <c r="G304" s="3"/>
      <c r="H304" s="3"/>
      <c r="I304" s="3"/>
      <c r="J304" s="3"/>
      <c r="K304" s="3"/>
      <c r="L304" s="3"/>
      <c r="M304" s="3"/>
      <c r="N304" s="3"/>
      <c r="O304" s="3"/>
      <c r="P304" s="3"/>
      <c r="Q304" s="3"/>
      <c r="R304" s="3"/>
      <c r="S304" s="3"/>
      <c r="T304" s="3"/>
      <c r="U304" s="3"/>
      <c r="V304" s="3"/>
      <c r="W304" s="3"/>
    </row>
    <row r="305" spans="1:23" x14ac:dyDescent="0.35">
      <c r="A305" s="3"/>
      <c r="B305" s="3"/>
      <c r="C305" s="3"/>
      <c r="D305" s="3"/>
      <c r="E305" s="3"/>
      <c r="F305" s="3"/>
      <c r="G305" s="3"/>
      <c r="H305" s="3"/>
      <c r="I305" s="3"/>
      <c r="J305" s="3"/>
      <c r="K305" s="3"/>
      <c r="L305" s="3"/>
      <c r="M305" s="3"/>
      <c r="N305" s="3"/>
      <c r="O305" s="3"/>
      <c r="P305" s="3"/>
      <c r="Q305" s="3"/>
      <c r="R305" s="3"/>
      <c r="S305" s="3"/>
      <c r="T305" s="3"/>
      <c r="U305" s="3"/>
      <c r="V305" s="3"/>
      <c r="W305" s="3"/>
    </row>
    <row r="306" spans="1:23" x14ac:dyDescent="0.35">
      <c r="A306" s="3"/>
      <c r="B306" s="3"/>
      <c r="C306" s="3"/>
      <c r="D306" s="3"/>
      <c r="E306" s="3"/>
      <c r="F306" s="3"/>
      <c r="G306" s="3"/>
      <c r="H306" s="3"/>
      <c r="I306" s="3"/>
      <c r="J306" s="3"/>
      <c r="K306" s="3"/>
      <c r="L306" s="3"/>
      <c r="M306" s="3"/>
      <c r="N306" s="3"/>
      <c r="O306" s="3"/>
      <c r="P306" s="3"/>
      <c r="Q306" s="3"/>
      <c r="R306" s="3"/>
      <c r="S306" s="3"/>
      <c r="T306" s="3"/>
      <c r="U306" s="3"/>
      <c r="V306" s="3"/>
      <c r="W306" s="3"/>
    </row>
    <row r="307" spans="1:23" x14ac:dyDescent="0.35">
      <c r="A307" s="3"/>
      <c r="B307" s="3"/>
      <c r="C307" s="3"/>
      <c r="D307" s="3"/>
      <c r="E307" s="3"/>
      <c r="F307" s="3"/>
      <c r="G307" s="3"/>
      <c r="H307" s="3"/>
      <c r="I307" s="3"/>
      <c r="J307" s="3"/>
      <c r="K307" s="3"/>
      <c r="L307" s="3"/>
      <c r="M307" s="3"/>
      <c r="N307" s="3"/>
      <c r="O307" s="3"/>
      <c r="P307" s="3"/>
      <c r="Q307" s="3"/>
      <c r="R307" s="3"/>
      <c r="S307" s="3"/>
      <c r="T307" s="3"/>
      <c r="U307" s="3"/>
      <c r="V307" s="3"/>
      <c r="W307" s="3"/>
    </row>
    <row r="308" spans="1:23" x14ac:dyDescent="0.35">
      <c r="A308" s="3"/>
      <c r="B308" s="3"/>
      <c r="C308" s="3"/>
      <c r="D308" s="3"/>
      <c r="E308" s="3"/>
      <c r="F308" s="3"/>
      <c r="G308" s="3"/>
      <c r="H308" s="3"/>
      <c r="I308" s="3"/>
      <c r="J308" s="3"/>
      <c r="K308" s="3"/>
      <c r="L308" s="3"/>
      <c r="M308" s="3"/>
      <c r="N308" s="3"/>
      <c r="O308" s="3"/>
      <c r="P308" s="3"/>
      <c r="Q308" s="3"/>
      <c r="R308" s="3"/>
      <c r="S308" s="3"/>
      <c r="T308" s="3"/>
      <c r="U308" s="3"/>
      <c r="V308" s="3"/>
      <c r="W308" s="3"/>
    </row>
    <row r="309" spans="1:23" x14ac:dyDescent="0.35">
      <c r="A309" s="3"/>
      <c r="B309" s="3"/>
      <c r="C309" s="3"/>
      <c r="D309" s="3"/>
      <c r="E309" s="3"/>
      <c r="F309" s="3"/>
      <c r="G309" s="3"/>
      <c r="H309" s="3"/>
      <c r="I309" s="3"/>
      <c r="J309" s="3"/>
      <c r="K309" s="3"/>
      <c r="L309" s="3"/>
      <c r="M309" s="3"/>
      <c r="N309" s="3"/>
      <c r="O309" s="3"/>
      <c r="P309" s="3"/>
      <c r="Q309" s="3"/>
      <c r="R309" s="3"/>
      <c r="S309" s="3"/>
      <c r="T309" s="3"/>
      <c r="U309" s="3"/>
      <c r="V309" s="3"/>
      <c r="W309" s="3"/>
    </row>
    <row r="310" spans="1:23" x14ac:dyDescent="0.35">
      <c r="A310" s="3"/>
      <c r="B310" s="3"/>
      <c r="C310" s="3"/>
      <c r="D310" s="3"/>
      <c r="E310" s="3"/>
      <c r="F310" s="3"/>
      <c r="G310" s="3"/>
      <c r="H310" s="3"/>
      <c r="I310" s="3"/>
      <c r="J310" s="3"/>
      <c r="K310" s="3"/>
      <c r="L310" s="3"/>
      <c r="M310" s="3"/>
      <c r="N310" s="3"/>
      <c r="O310" s="3"/>
      <c r="P310" s="3"/>
      <c r="Q310" s="3"/>
      <c r="R310" s="3"/>
      <c r="S310" s="3"/>
      <c r="T310" s="3"/>
      <c r="U310" s="3"/>
      <c r="V310" s="3"/>
      <c r="W310" s="3"/>
    </row>
    <row r="311" spans="1:23" x14ac:dyDescent="0.35">
      <c r="A311" s="3"/>
      <c r="B311" s="3"/>
      <c r="C311" s="3"/>
      <c r="D311" s="3"/>
      <c r="E311" s="3"/>
      <c r="F311" s="3"/>
      <c r="G311" s="3"/>
      <c r="H311" s="3"/>
      <c r="I311" s="3"/>
      <c r="J311" s="3"/>
      <c r="K311" s="3"/>
      <c r="L311" s="3"/>
      <c r="M311" s="3"/>
      <c r="N311" s="3"/>
      <c r="O311" s="3"/>
      <c r="P311" s="3"/>
      <c r="Q311" s="3"/>
      <c r="R311" s="3"/>
      <c r="S311" s="3"/>
      <c r="T311" s="3"/>
      <c r="U311" s="3"/>
      <c r="V311" s="3"/>
      <c r="W311" s="3"/>
    </row>
    <row r="312" spans="1:23" x14ac:dyDescent="0.35">
      <c r="A312" s="3"/>
      <c r="B312" s="3"/>
      <c r="C312" s="3"/>
      <c r="D312" s="3"/>
      <c r="E312" s="3"/>
      <c r="F312" s="3"/>
      <c r="G312" s="3"/>
      <c r="H312" s="3"/>
      <c r="I312" s="3"/>
      <c r="J312" s="3"/>
      <c r="K312" s="3"/>
      <c r="L312" s="3"/>
      <c r="M312" s="3"/>
      <c r="N312" s="3"/>
      <c r="O312" s="3"/>
      <c r="P312" s="3"/>
      <c r="Q312" s="3"/>
      <c r="R312" s="3"/>
      <c r="S312" s="3"/>
      <c r="T312" s="3"/>
      <c r="U312" s="3"/>
      <c r="V312" s="3"/>
      <c r="W312" s="3"/>
    </row>
    <row r="313" spans="1:23" x14ac:dyDescent="0.35">
      <c r="A313" s="3"/>
      <c r="B313" s="3"/>
      <c r="C313" s="3"/>
      <c r="D313" s="3"/>
      <c r="E313" s="3"/>
      <c r="F313" s="3"/>
      <c r="G313" s="3"/>
      <c r="H313" s="3"/>
      <c r="I313" s="3"/>
      <c r="J313" s="3"/>
      <c r="K313" s="3"/>
      <c r="L313" s="3"/>
      <c r="M313" s="3"/>
      <c r="N313" s="3"/>
      <c r="O313" s="3"/>
      <c r="P313" s="3"/>
      <c r="Q313" s="3"/>
      <c r="R313" s="3"/>
      <c r="S313" s="3"/>
      <c r="T313" s="3"/>
      <c r="U313" s="3"/>
      <c r="V313" s="3"/>
      <c r="W313" s="3"/>
    </row>
    <row r="314" spans="1:23" x14ac:dyDescent="0.35">
      <c r="A314" s="3"/>
      <c r="B314" s="3"/>
      <c r="C314" s="3"/>
      <c r="D314" s="3"/>
      <c r="E314" s="3"/>
      <c r="F314" s="3"/>
      <c r="G314" s="3"/>
      <c r="H314" s="3"/>
      <c r="I314" s="3"/>
      <c r="J314" s="3"/>
      <c r="K314" s="3"/>
      <c r="L314" s="3"/>
      <c r="M314" s="3"/>
      <c r="N314" s="3"/>
      <c r="O314" s="3"/>
      <c r="P314" s="3"/>
      <c r="Q314" s="3"/>
      <c r="R314" s="3"/>
      <c r="S314" s="3"/>
      <c r="T314" s="3"/>
      <c r="U314" s="3"/>
      <c r="V314" s="3"/>
      <c r="W314" s="3"/>
    </row>
    <row r="315" spans="1:23" x14ac:dyDescent="0.35">
      <c r="A315" s="3"/>
      <c r="B315" s="3"/>
      <c r="C315" s="3"/>
      <c r="D315" s="3"/>
      <c r="E315" s="3"/>
      <c r="F315" s="3"/>
      <c r="G315" s="3"/>
      <c r="H315" s="3"/>
      <c r="I315" s="3"/>
      <c r="J315" s="3"/>
      <c r="K315" s="3"/>
      <c r="L315" s="3"/>
      <c r="M315" s="3"/>
      <c r="N315" s="3"/>
      <c r="O315" s="3"/>
      <c r="P315" s="3"/>
      <c r="Q315" s="3"/>
      <c r="R315" s="3"/>
      <c r="S315" s="3"/>
      <c r="T315" s="3"/>
      <c r="U315" s="3"/>
      <c r="V315" s="3"/>
      <c r="W315" s="3"/>
    </row>
    <row r="316" spans="1:23" x14ac:dyDescent="0.35">
      <c r="A316" s="3"/>
      <c r="B316" s="3"/>
      <c r="C316" s="3"/>
      <c r="D316" s="3"/>
      <c r="E316" s="3"/>
      <c r="F316" s="3"/>
      <c r="G316" s="3"/>
      <c r="H316" s="3"/>
      <c r="I316" s="3"/>
      <c r="J316" s="3"/>
      <c r="K316" s="3"/>
      <c r="L316" s="3"/>
      <c r="M316" s="3"/>
      <c r="N316" s="3"/>
      <c r="O316" s="3"/>
      <c r="P316" s="3"/>
      <c r="Q316" s="3"/>
      <c r="R316" s="3"/>
      <c r="S316" s="3"/>
      <c r="T316" s="3"/>
      <c r="U316" s="3"/>
      <c r="V316" s="3"/>
      <c r="W316" s="3"/>
    </row>
    <row r="317" spans="1:23" x14ac:dyDescent="0.35">
      <c r="A317" s="3"/>
      <c r="B317" s="3"/>
      <c r="C317" s="3"/>
      <c r="D317" s="3"/>
      <c r="E317" s="3"/>
      <c r="F317" s="3"/>
      <c r="G317" s="3"/>
      <c r="H317" s="3"/>
      <c r="I317" s="3"/>
      <c r="J317" s="3"/>
      <c r="K317" s="3"/>
      <c r="L317" s="3"/>
      <c r="M317" s="3"/>
      <c r="N317" s="3"/>
      <c r="O317" s="3"/>
      <c r="P317" s="3"/>
      <c r="Q317" s="3"/>
      <c r="R317" s="3"/>
      <c r="S317" s="3"/>
      <c r="T317" s="3"/>
      <c r="U317" s="3"/>
      <c r="V317" s="3"/>
      <c r="W317" s="3"/>
    </row>
    <row r="318" spans="1:23" x14ac:dyDescent="0.35">
      <c r="A318" s="3"/>
      <c r="B318" s="3"/>
      <c r="C318" s="3"/>
      <c r="D318" s="3"/>
      <c r="E318" s="3"/>
      <c r="F318" s="3"/>
      <c r="G318" s="3"/>
      <c r="H318" s="3"/>
      <c r="I318" s="3"/>
      <c r="J318" s="3"/>
      <c r="K318" s="3"/>
      <c r="L318" s="3"/>
      <c r="M318" s="3"/>
      <c r="N318" s="3"/>
      <c r="O318" s="3"/>
      <c r="P318" s="3"/>
      <c r="Q318" s="3"/>
      <c r="R318" s="3"/>
      <c r="S318" s="3"/>
      <c r="T318" s="3"/>
      <c r="U318" s="3"/>
      <c r="V318" s="3"/>
      <c r="W318" s="3"/>
    </row>
    <row r="319" spans="1:23" x14ac:dyDescent="0.35">
      <c r="A319" s="3"/>
      <c r="B319" s="3"/>
      <c r="C319" s="3"/>
      <c r="D319" s="3"/>
      <c r="E319" s="3"/>
      <c r="F319" s="3"/>
      <c r="G319" s="3"/>
      <c r="H319" s="3"/>
      <c r="I319" s="3"/>
      <c r="J319" s="3"/>
      <c r="K319" s="3"/>
      <c r="L319" s="3"/>
      <c r="M319" s="3"/>
      <c r="N319" s="3"/>
      <c r="O319" s="3"/>
      <c r="P319" s="3"/>
      <c r="Q319" s="3"/>
      <c r="R319" s="3"/>
      <c r="S319" s="3"/>
      <c r="T319" s="3"/>
      <c r="U319" s="3"/>
      <c r="V319" s="3"/>
      <c r="W319" s="3"/>
    </row>
    <row r="320" spans="1:23" x14ac:dyDescent="0.35">
      <c r="A320" s="3"/>
      <c r="B320" s="3"/>
      <c r="C320" s="3"/>
      <c r="D320" s="3"/>
      <c r="E320" s="3"/>
      <c r="F320" s="3"/>
      <c r="G320" s="3"/>
      <c r="H320" s="3"/>
      <c r="I320" s="3"/>
      <c r="J320" s="3"/>
      <c r="K320" s="3"/>
      <c r="L320" s="3"/>
      <c r="M320" s="3"/>
      <c r="N320" s="3"/>
      <c r="O320" s="3"/>
      <c r="P320" s="3"/>
      <c r="Q320" s="3"/>
      <c r="R320" s="3"/>
      <c r="S320" s="3"/>
      <c r="T320" s="3"/>
      <c r="U320" s="3"/>
      <c r="V320" s="3"/>
      <c r="W320" s="3"/>
    </row>
    <row r="321" spans="1:23" x14ac:dyDescent="0.35">
      <c r="A321" s="3"/>
      <c r="B321" s="3"/>
      <c r="C321" s="3"/>
      <c r="D321" s="3"/>
      <c r="E321" s="3"/>
      <c r="F321" s="3"/>
      <c r="G321" s="3"/>
      <c r="H321" s="3"/>
      <c r="I321" s="3"/>
      <c r="J321" s="3"/>
      <c r="K321" s="3"/>
      <c r="L321" s="3"/>
      <c r="M321" s="3"/>
      <c r="N321" s="3"/>
      <c r="O321" s="3"/>
      <c r="P321" s="3"/>
      <c r="Q321" s="3"/>
      <c r="R321" s="3"/>
      <c r="S321" s="3"/>
      <c r="T321" s="3"/>
      <c r="U321" s="3"/>
      <c r="V321" s="3"/>
      <c r="W321" s="3"/>
    </row>
    <row r="322" spans="1:23" x14ac:dyDescent="0.35">
      <c r="A322" s="3"/>
      <c r="B322" s="3"/>
      <c r="C322" s="3"/>
      <c r="D322" s="3"/>
      <c r="E322" s="3"/>
      <c r="F322" s="3"/>
      <c r="G322" s="3"/>
      <c r="H322" s="3"/>
      <c r="I322" s="3"/>
      <c r="J322" s="3"/>
      <c r="K322" s="3"/>
      <c r="L322" s="3"/>
      <c r="M322" s="3"/>
      <c r="N322" s="3"/>
      <c r="O322" s="3"/>
      <c r="P322" s="3"/>
      <c r="Q322" s="3"/>
      <c r="R322" s="3"/>
      <c r="S322" s="3"/>
      <c r="T322" s="3"/>
      <c r="U322" s="3"/>
      <c r="V322" s="3"/>
      <c r="W322" s="3"/>
    </row>
    <row r="323" spans="1:23" x14ac:dyDescent="0.35">
      <c r="A323" s="3"/>
      <c r="B323" s="3"/>
      <c r="C323" s="3"/>
      <c r="D323" s="3"/>
      <c r="E323" s="3"/>
      <c r="F323" s="3"/>
      <c r="G323" s="3"/>
      <c r="H323" s="3"/>
      <c r="I323" s="3"/>
      <c r="J323" s="3"/>
      <c r="K323" s="3"/>
      <c r="L323" s="3"/>
      <c r="M323" s="3"/>
      <c r="N323" s="3"/>
      <c r="O323" s="3"/>
      <c r="P323" s="3"/>
      <c r="Q323" s="3"/>
      <c r="R323" s="3"/>
      <c r="S323" s="3"/>
      <c r="T323" s="3"/>
      <c r="U323" s="3"/>
      <c r="V323" s="3"/>
      <c r="W323" s="3"/>
    </row>
    <row r="324" spans="1:23" x14ac:dyDescent="0.35">
      <c r="A324" s="3"/>
      <c r="B324" s="3"/>
      <c r="C324" s="3"/>
      <c r="D324" s="3"/>
      <c r="E324" s="3"/>
      <c r="F324" s="3"/>
      <c r="G324" s="3"/>
      <c r="H324" s="3"/>
      <c r="I324" s="3"/>
      <c r="J324" s="3"/>
      <c r="K324" s="3"/>
      <c r="L324" s="3"/>
      <c r="M324" s="3"/>
      <c r="N324" s="3"/>
      <c r="O324" s="3"/>
      <c r="P324" s="3"/>
      <c r="Q324" s="3"/>
      <c r="R324" s="3"/>
      <c r="S324" s="3"/>
      <c r="T324" s="3"/>
      <c r="U324" s="3"/>
      <c r="V324" s="3"/>
      <c r="W324" s="3"/>
    </row>
    <row r="325" spans="1:23" x14ac:dyDescent="0.35">
      <c r="A325" s="3"/>
      <c r="B325" s="3"/>
      <c r="C325" s="3"/>
      <c r="D325" s="3"/>
      <c r="E325" s="3"/>
      <c r="F325" s="3"/>
      <c r="G325" s="3"/>
      <c r="H325" s="3"/>
      <c r="I325" s="3"/>
      <c r="J325" s="3"/>
      <c r="K325" s="3"/>
      <c r="L325" s="3"/>
      <c r="M325" s="3"/>
      <c r="N325" s="3"/>
      <c r="O325" s="3"/>
      <c r="P325" s="3"/>
      <c r="Q325" s="3"/>
      <c r="R325" s="3"/>
      <c r="S325" s="3"/>
      <c r="T325" s="3"/>
      <c r="U325" s="3"/>
      <c r="V325" s="3"/>
      <c r="W325" s="3"/>
    </row>
    <row r="326" spans="1:23" x14ac:dyDescent="0.35">
      <c r="A326" s="3"/>
      <c r="B326" s="3"/>
      <c r="C326" s="3"/>
      <c r="D326" s="3"/>
      <c r="E326" s="3"/>
      <c r="F326" s="3"/>
      <c r="G326" s="3"/>
      <c r="H326" s="3"/>
      <c r="I326" s="3"/>
      <c r="J326" s="3"/>
      <c r="K326" s="3"/>
      <c r="L326" s="3"/>
      <c r="M326" s="3"/>
      <c r="N326" s="3"/>
      <c r="O326" s="3"/>
      <c r="P326" s="3"/>
      <c r="Q326" s="3"/>
      <c r="R326" s="3"/>
      <c r="S326" s="3"/>
      <c r="T326" s="3"/>
      <c r="U326" s="3"/>
      <c r="V326" s="3"/>
      <c r="W326" s="3"/>
    </row>
    <row r="327" spans="1:23" x14ac:dyDescent="0.35">
      <c r="A327" s="3"/>
      <c r="B327" s="3"/>
      <c r="C327" s="3"/>
      <c r="D327" s="3"/>
      <c r="E327" s="3"/>
      <c r="F327" s="3"/>
      <c r="G327" s="3"/>
      <c r="H327" s="3"/>
      <c r="I327" s="3"/>
      <c r="J327" s="3"/>
      <c r="K327" s="3"/>
      <c r="L327" s="3"/>
      <c r="M327" s="3"/>
      <c r="N327" s="3"/>
      <c r="O327" s="3"/>
      <c r="P327" s="3"/>
      <c r="Q327" s="3"/>
      <c r="R327" s="3"/>
      <c r="S327" s="3"/>
      <c r="T327" s="3"/>
      <c r="U327" s="3"/>
      <c r="V327" s="3"/>
      <c r="W327" s="3"/>
    </row>
    <row r="328" spans="1:23" x14ac:dyDescent="0.35">
      <c r="A328" s="3"/>
      <c r="B328" s="3"/>
      <c r="C328" s="3"/>
      <c r="D328" s="3"/>
      <c r="E328" s="3"/>
      <c r="F328" s="3"/>
      <c r="G328" s="3"/>
      <c r="H328" s="3"/>
      <c r="I328" s="3"/>
      <c r="J328" s="3"/>
      <c r="K328" s="3"/>
      <c r="L328" s="3"/>
      <c r="M328" s="3"/>
      <c r="N328" s="3"/>
      <c r="O328" s="3"/>
      <c r="P328" s="3"/>
      <c r="Q328" s="3"/>
      <c r="R328" s="3"/>
      <c r="S328" s="3"/>
      <c r="T328" s="3"/>
      <c r="U328" s="3"/>
      <c r="V328" s="3"/>
      <c r="W328" s="3"/>
    </row>
    <row r="329" spans="1:23" x14ac:dyDescent="0.35">
      <c r="A329" s="3"/>
      <c r="B329" s="3"/>
      <c r="C329" s="3"/>
      <c r="D329" s="3"/>
      <c r="E329" s="3"/>
      <c r="F329" s="3"/>
      <c r="G329" s="3"/>
      <c r="H329" s="3"/>
      <c r="I329" s="3"/>
      <c r="J329" s="3"/>
      <c r="K329" s="3"/>
      <c r="L329" s="3"/>
      <c r="M329" s="3"/>
      <c r="N329" s="3"/>
      <c r="O329" s="3"/>
      <c r="P329" s="3"/>
      <c r="Q329" s="3"/>
      <c r="R329" s="3"/>
      <c r="S329" s="3"/>
      <c r="T329" s="3"/>
      <c r="U329" s="3"/>
      <c r="V329" s="3"/>
      <c r="W329" s="3"/>
    </row>
    <row r="330" spans="1:23" x14ac:dyDescent="0.35">
      <c r="A330" s="3"/>
      <c r="B330" s="3"/>
      <c r="C330" s="3"/>
      <c r="D330" s="3"/>
      <c r="E330" s="3"/>
      <c r="F330" s="3"/>
      <c r="G330" s="3"/>
      <c r="H330" s="3"/>
      <c r="I330" s="3"/>
      <c r="J330" s="3"/>
      <c r="K330" s="3"/>
      <c r="L330" s="3"/>
      <c r="M330" s="3"/>
      <c r="N330" s="3"/>
      <c r="O330" s="3"/>
      <c r="P330" s="3"/>
      <c r="Q330" s="3"/>
      <c r="R330" s="3"/>
      <c r="S330" s="3"/>
      <c r="T330" s="3"/>
      <c r="U330" s="3"/>
      <c r="V330" s="3"/>
      <c r="W330" s="3"/>
    </row>
    <row r="331" spans="1:23" x14ac:dyDescent="0.35">
      <c r="A331" s="3"/>
      <c r="B331" s="3"/>
      <c r="C331" s="3"/>
      <c r="D331" s="3"/>
      <c r="E331" s="3"/>
      <c r="F331" s="3"/>
      <c r="G331" s="3"/>
      <c r="H331" s="3"/>
      <c r="I331" s="3"/>
      <c r="J331" s="3"/>
      <c r="K331" s="3"/>
      <c r="L331" s="3"/>
      <c r="M331" s="3"/>
      <c r="N331" s="3"/>
      <c r="O331" s="3"/>
      <c r="P331" s="3"/>
      <c r="Q331" s="3"/>
      <c r="R331" s="3"/>
      <c r="S331" s="3"/>
      <c r="T331" s="3"/>
      <c r="U331" s="3"/>
      <c r="V331" s="3"/>
      <c r="W331" s="3"/>
    </row>
    <row r="332" spans="1:23" x14ac:dyDescent="0.35">
      <c r="A332" s="3"/>
      <c r="B332" s="3"/>
      <c r="C332" s="3"/>
      <c r="D332" s="3"/>
      <c r="E332" s="3"/>
      <c r="F332" s="3"/>
      <c r="G332" s="3"/>
      <c r="H332" s="3"/>
      <c r="I332" s="3"/>
      <c r="J332" s="3"/>
      <c r="K332" s="3"/>
      <c r="L332" s="3"/>
      <c r="M332" s="3"/>
      <c r="N332" s="3"/>
      <c r="O332" s="3"/>
      <c r="P332" s="3"/>
      <c r="Q332" s="3"/>
      <c r="R332" s="3"/>
      <c r="S332" s="3"/>
      <c r="T332" s="3"/>
      <c r="U332" s="3"/>
      <c r="V332" s="3"/>
      <c r="W332" s="3"/>
    </row>
    <row r="333" spans="1:23" x14ac:dyDescent="0.35">
      <c r="A333" s="3"/>
      <c r="B333" s="3"/>
      <c r="C333" s="3"/>
      <c r="D333" s="3"/>
      <c r="E333" s="3"/>
      <c r="F333" s="3"/>
      <c r="G333" s="3"/>
      <c r="H333" s="3"/>
      <c r="I333" s="3"/>
      <c r="J333" s="3"/>
      <c r="K333" s="3"/>
      <c r="L333" s="3"/>
      <c r="M333" s="3"/>
      <c r="N333" s="3"/>
      <c r="O333" s="3"/>
      <c r="P333" s="3"/>
      <c r="Q333" s="3"/>
      <c r="R333" s="3"/>
      <c r="S333" s="3"/>
      <c r="T333" s="3"/>
      <c r="U333" s="3"/>
      <c r="V333" s="3"/>
      <c r="W333" s="3"/>
    </row>
    <row r="334" spans="1:23" x14ac:dyDescent="0.35">
      <c r="A334" s="3"/>
      <c r="B334" s="3"/>
      <c r="C334" s="3"/>
      <c r="D334" s="3"/>
      <c r="E334" s="3"/>
      <c r="F334" s="3"/>
      <c r="G334" s="3"/>
      <c r="H334" s="3"/>
      <c r="I334" s="3"/>
      <c r="J334" s="3"/>
      <c r="K334" s="3"/>
      <c r="L334" s="3"/>
      <c r="M334" s="3"/>
      <c r="N334" s="3"/>
      <c r="O334" s="3"/>
      <c r="P334" s="3"/>
      <c r="Q334" s="3"/>
      <c r="R334" s="3"/>
      <c r="S334" s="3"/>
      <c r="T334" s="3"/>
      <c r="U334" s="3"/>
      <c r="V334" s="3"/>
      <c r="W334" s="3"/>
    </row>
    <row r="335" spans="1:23" x14ac:dyDescent="0.35">
      <c r="A335" s="3"/>
      <c r="B335" s="3"/>
      <c r="C335" s="3"/>
      <c r="D335" s="3"/>
      <c r="E335" s="3"/>
      <c r="F335" s="3"/>
      <c r="G335" s="3"/>
      <c r="H335" s="3"/>
      <c r="I335" s="3"/>
      <c r="J335" s="3"/>
      <c r="K335" s="3"/>
      <c r="L335" s="3"/>
      <c r="M335" s="3"/>
      <c r="N335" s="3"/>
      <c r="O335" s="3"/>
      <c r="P335" s="3"/>
      <c r="Q335" s="3"/>
      <c r="R335" s="3"/>
      <c r="S335" s="3"/>
      <c r="T335" s="3"/>
      <c r="U335" s="3"/>
      <c r="V335" s="3"/>
      <c r="W335" s="3"/>
    </row>
    <row r="336" spans="1:23" x14ac:dyDescent="0.35">
      <c r="A336" s="3"/>
      <c r="B336" s="3"/>
      <c r="C336" s="3"/>
      <c r="D336" s="3"/>
      <c r="E336" s="3"/>
      <c r="F336" s="3"/>
      <c r="G336" s="3"/>
      <c r="H336" s="3"/>
      <c r="I336" s="3"/>
      <c r="J336" s="3"/>
      <c r="K336" s="3"/>
      <c r="L336" s="3"/>
      <c r="M336" s="3"/>
      <c r="N336" s="3"/>
      <c r="O336" s="3"/>
      <c r="P336" s="3"/>
      <c r="Q336" s="3"/>
      <c r="R336" s="3"/>
      <c r="S336" s="3"/>
      <c r="T336" s="3"/>
      <c r="U336" s="3"/>
      <c r="V336" s="3"/>
      <c r="W336" s="3"/>
    </row>
    <row r="337" spans="1:23" x14ac:dyDescent="0.35">
      <c r="A337" s="3"/>
      <c r="B337" s="3"/>
      <c r="C337" s="3"/>
      <c r="D337" s="3"/>
      <c r="E337" s="3"/>
      <c r="F337" s="3"/>
      <c r="G337" s="3"/>
      <c r="H337" s="3"/>
      <c r="I337" s="3"/>
      <c r="J337" s="3"/>
      <c r="K337" s="3"/>
      <c r="L337" s="3"/>
      <c r="M337" s="3"/>
      <c r="N337" s="3"/>
      <c r="O337" s="3"/>
      <c r="P337" s="3"/>
      <c r="Q337" s="3"/>
      <c r="R337" s="3"/>
      <c r="S337" s="3"/>
      <c r="T337" s="3"/>
      <c r="U337" s="3"/>
      <c r="V337" s="3"/>
      <c r="W337" s="3"/>
    </row>
    <row r="338" spans="1:23" x14ac:dyDescent="0.35">
      <c r="A338" s="3"/>
      <c r="B338" s="3"/>
      <c r="C338" s="3"/>
      <c r="D338" s="3"/>
      <c r="E338" s="3"/>
      <c r="F338" s="3"/>
      <c r="G338" s="3"/>
      <c r="H338" s="3"/>
      <c r="I338" s="3"/>
      <c r="J338" s="3"/>
      <c r="K338" s="3"/>
      <c r="L338" s="3"/>
      <c r="M338" s="3"/>
      <c r="N338" s="3"/>
      <c r="O338" s="3"/>
      <c r="P338" s="3"/>
      <c r="Q338" s="3"/>
      <c r="R338" s="3"/>
      <c r="S338" s="3"/>
      <c r="T338" s="3"/>
      <c r="U338" s="3"/>
      <c r="V338" s="3"/>
      <c r="W338" s="3"/>
    </row>
    <row r="339" spans="1:23" x14ac:dyDescent="0.35">
      <c r="A339" s="3"/>
      <c r="B339" s="3"/>
      <c r="C339" s="3"/>
      <c r="D339" s="3"/>
      <c r="E339" s="3"/>
      <c r="F339" s="3"/>
      <c r="G339" s="3"/>
      <c r="H339" s="3"/>
      <c r="I339" s="3"/>
      <c r="J339" s="3"/>
      <c r="K339" s="3"/>
      <c r="L339" s="3"/>
      <c r="M339" s="3"/>
      <c r="N339" s="3"/>
      <c r="O339" s="3"/>
      <c r="P339" s="3"/>
      <c r="Q339" s="3"/>
      <c r="R339" s="3"/>
      <c r="S339" s="3"/>
      <c r="T339" s="3"/>
      <c r="U339" s="3"/>
      <c r="V339" s="3"/>
      <c r="W339" s="3"/>
    </row>
    <row r="340" spans="1:23" x14ac:dyDescent="0.35">
      <c r="A340" s="3"/>
      <c r="B340" s="3"/>
      <c r="C340" s="3"/>
      <c r="D340" s="3"/>
      <c r="E340" s="3"/>
      <c r="F340" s="3"/>
      <c r="G340" s="3"/>
      <c r="H340" s="3"/>
      <c r="I340" s="3"/>
      <c r="J340" s="3"/>
      <c r="K340" s="3"/>
      <c r="L340" s="3"/>
      <c r="M340" s="3"/>
      <c r="N340" s="3"/>
      <c r="O340" s="3"/>
      <c r="P340" s="3"/>
      <c r="Q340" s="3"/>
      <c r="R340" s="3"/>
      <c r="S340" s="3"/>
      <c r="T340" s="3"/>
      <c r="U340" s="3"/>
      <c r="V340" s="3"/>
      <c r="W340" s="3"/>
    </row>
    <row r="341" spans="1:23" x14ac:dyDescent="0.35">
      <c r="A341" s="3"/>
      <c r="B341" s="3"/>
      <c r="C341" s="3"/>
      <c r="D341" s="3"/>
      <c r="E341" s="3"/>
      <c r="F341" s="3"/>
      <c r="G341" s="3"/>
      <c r="H341" s="3"/>
      <c r="I341" s="3"/>
      <c r="J341" s="3"/>
      <c r="K341" s="3"/>
      <c r="L341" s="3"/>
      <c r="M341" s="3"/>
      <c r="N341" s="3"/>
      <c r="O341" s="3"/>
      <c r="P341" s="3"/>
      <c r="Q341" s="3"/>
      <c r="R341" s="3"/>
      <c r="S341" s="3"/>
      <c r="T341" s="3"/>
      <c r="U341" s="3"/>
      <c r="V341" s="3"/>
      <c r="W341" s="3"/>
    </row>
    <row r="342" spans="1:23" x14ac:dyDescent="0.35">
      <c r="A342" s="3"/>
      <c r="B342" s="3"/>
      <c r="C342" s="3"/>
      <c r="D342" s="3"/>
      <c r="E342" s="3"/>
      <c r="F342" s="3"/>
      <c r="G342" s="3"/>
      <c r="H342" s="3"/>
      <c r="I342" s="3"/>
      <c r="J342" s="3"/>
      <c r="K342" s="3"/>
      <c r="L342" s="3"/>
      <c r="M342" s="3"/>
      <c r="N342" s="3"/>
      <c r="O342" s="3"/>
      <c r="P342" s="3"/>
      <c r="Q342" s="3"/>
      <c r="R342" s="3"/>
      <c r="S342" s="3"/>
      <c r="T342" s="3"/>
      <c r="U342" s="3"/>
      <c r="V342" s="3"/>
      <c r="W342" s="3"/>
    </row>
    <row r="343" spans="1:23" x14ac:dyDescent="0.35">
      <c r="A343" s="3"/>
      <c r="B343" s="3"/>
      <c r="C343" s="3"/>
      <c r="D343" s="3"/>
      <c r="E343" s="3"/>
      <c r="F343" s="3"/>
      <c r="G343" s="3"/>
      <c r="H343" s="3"/>
      <c r="I343" s="3"/>
      <c r="J343" s="3"/>
      <c r="K343" s="3"/>
      <c r="L343" s="3"/>
      <c r="M343" s="3"/>
      <c r="N343" s="3"/>
      <c r="O343" s="3"/>
      <c r="P343" s="3"/>
      <c r="Q343" s="3"/>
      <c r="R343" s="3"/>
      <c r="S343" s="3"/>
      <c r="T343" s="3"/>
      <c r="U343" s="3"/>
      <c r="V343" s="3"/>
      <c r="W343" s="3"/>
    </row>
    <row r="344" spans="1:23" x14ac:dyDescent="0.35">
      <c r="A344" s="3"/>
      <c r="B344" s="3"/>
      <c r="C344" s="3"/>
      <c r="D344" s="3"/>
      <c r="E344" s="3"/>
      <c r="F344" s="3"/>
      <c r="G344" s="3"/>
      <c r="H344" s="3"/>
      <c r="I344" s="3"/>
      <c r="J344" s="3"/>
      <c r="K344" s="3"/>
      <c r="L344" s="3"/>
      <c r="M344" s="3"/>
      <c r="N344" s="3"/>
      <c r="O344" s="3"/>
      <c r="P344" s="3"/>
      <c r="Q344" s="3"/>
      <c r="R344" s="3"/>
      <c r="S344" s="3"/>
      <c r="T344" s="3"/>
      <c r="U344" s="3"/>
      <c r="V344" s="3"/>
      <c r="W344" s="3"/>
    </row>
    <row r="345" spans="1:23" x14ac:dyDescent="0.35">
      <c r="A345" s="3"/>
      <c r="B345" s="3"/>
      <c r="C345" s="3"/>
      <c r="D345" s="3"/>
      <c r="E345" s="3"/>
      <c r="F345" s="3"/>
      <c r="G345" s="3"/>
      <c r="H345" s="3"/>
      <c r="I345" s="3"/>
      <c r="J345" s="3"/>
      <c r="K345" s="3"/>
      <c r="L345" s="3"/>
      <c r="M345" s="3"/>
      <c r="N345" s="3"/>
      <c r="O345" s="3"/>
      <c r="P345" s="3"/>
      <c r="Q345" s="3"/>
      <c r="R345" s="3"/>
      <c r="S345" s="3"/>
      <c r="T345" s="3"/>
      <c r="U345" s="3"/>
      <c r="V345" s="3"/>
      <c r="W345" s="3"/>
    </row>
    <row r="346" spans="1:23" x14ac:dyDescent="0.35">
      <c r="A346" s="3"/>
      <c r="B346" s="3"/>
      <c r="C346" s="3"/>
      <c r="D346" s="3"/>
      <c r="E346" s="3"/>
      <c r="F346" s="3"/>
      <c r="G346" s="3"/>
      <c r="H346" s="3"/>
      <c r="I346" s="3"/>
      <c r="J346" s="3"/>
      <c r="K346" s="3"/>
      <c r="L346" s="3"/>
      <c r="M346" s="3"/>
      <c r="N346" s="3"/>
      <c r="O346" s="3"/>
      <c r="P346" s="3"/>
      <c r="Q346" s="3"/>
      <c r="R346" s="3"/>
      <c r="S346" s="3"/>
      <c r="T346" s="3"/>
      <c r="U346" s="3"/>
      <c r="V346" s="3"/>
      <c r="W346" s="3"/>
    </row>
    <row r="347" spans="1:23" x14ac:dyDescent="0.35">
      <c r="A347" s="3"/>
      <c r="B347" s="3"/>
      <c r="C347" s="3"/>
      <c r="D347" s="3"/>
      <c r="E347" s="3"/>
      <c r="F347" s="3"/>
      <c r="G347" s="3"/>
      <c r="H347" s="3"/>
      <c r="I347" s="3"/>
      <c r="J347" s="3"/>
      <c r="K347" s="3"/>
      <c r="L347" s="3"/>
      <c r="M347" s="3"/>
      <c r="N347" s="3"/>
      <c r="O347" s="3"/>
      <c r="P347" s="3"/>
      <c r="Q347" s="3"/>
      <c r="R347" s="3"/>
      <c r="S347" s="3"/>
      <c r="T347" s="3"/>
      <c r="U347" s="3"/>
      <c r="V347" s="3"/>
      <c r="W347" s="3"/>
    </row>
    <row r="348" spans="1:23" x14ac:dyDescent="0.35">
      <c r="A348" s="3"/>
      <c r="B348" s="3"/>
      <c r="C348" s="3"/>
      <c r="D348" s="3"/>
      <c r="E348" s="3"/>
      <c r="F348" s="3"/>
      <c r="G348" s="3"/>
      <c r="H348" s="3"/>
      <c r="I348" s="3"/>
      <c r="J348" s="3"/>
      <c r="K348" s="3"/>
      <c r="L348" s="3"/>
      <c r="M348" s="3"/>
      <c r="N348" s="3"/>
      <c r="O348" s="3"/>
      <c r="P348" s="3"/>
      <c r="Q348" s="3"/>
      <c r="R348" s="3"/>
      <c r="S348" s="3"/>
      <c r="T348" s="3"/>
      <c r="U348" s="3"/>
      <c r="V348" s="3"/>
      <c r="W348" s="3"/>
    </row>
    <row r="349" spans="1:23" x14ac:dyDescent="0.35">
      <c r="A349" s="3"/>
      <c r="B349" s="3"/>
      <c r="C349" s="3"/>
      <c r="D349" s="3"/>
      <c r="E349" s="3"/>
      <c r="F349" s="3"/>
      <c r="G349" s="3"/>
      <c r="H349" s="3"/>
      <c r="I349" s="3"/>
      <c r="J349" s="3"/>
      <c r="K349" s="3"/>
      <c r="L349" s="3"/>
      <c r="M349" s="3"/>
      <c r="N349" s="3"/>
      <c r="O349" s="3"/>
      <c r="P349" s="3"/>
      <c r="Q349" s="3"/>
      <c r="R349" s="3"/>
      <c r="S349" s="3"/>
      <c r="T349" s="3"/>
      <c r="U349" s="3"/>
      <c r="V349" s="3"/>
      <c r="W349" s="3"/>
    </row>
    <row r="350" spans="1:23" x14ac:dyDescent="0.35">
      <c r="A350" s="3"/>
      <c r="B350" s="3"/>
      <c r="C350" s="3"/>
      <c r="D350" s="3"/>
      <c r="E350" s="3"/>
      <c r="F350" s="3"/>
      <c r="G350" s="3"/>
      <c r="H350" s="3"/>
      <c r="I350" s="3"/>
      <c r="J350" s="3"/>
      <c r="K350" s="3"/>
      <c r="L350" s="3"/>
      <c r="M350" s="3"/>
      <c r="N350" s="3"/>
      <c r="O350" s="3"/>
      <c r="P350" s="3"/>
      <c r="Q350" s="3"/>
      <c r="R350" s="3"/>
      <c r="S350" s="3"/>
      <c r="T350" s="3"/>
      <c r="U350" s="3"/>
      <c r="V350" s="3"/>
      <c r="W350" s="3"/>
    </row>
    <row r="351" spans="1:23" x14ac:dyDescent="0.35">
      <c r="A351" s="3"/>
      <c r="B351" s="3"/>
      <c r="C351" s="3"/>
      <c r="D351" s="3"/>
      <c r="E351" s="3"/>
      <c r="F351" s="3"/>
      <c r="G351" s="3"/>
      <c r="H351" s="3"/>
      <c r="I351" s="3"/>
      <c r="J351" s="3"/>
      <c r="K351" s="3"/>
      <c r="L351" s="3"/>
      <c r="M351" s="3"/>
      <c r="N351" s="3"/>
      <c r="O351" s="3"/>
      <c r="P351" s="3"/>
      <c r="Q351" s="3"/>
      <c r="R351" s="3"/>
      <c r="S351" s="3"/>
      <c r="T351" s="3"/>
      <c r="U351" s="3"/>
      <c r="V351" s="3"/>
      <c r="W351" s="3"/>
    </row>
    <row r="352" spans="1:23" x14ac:dyDescent="0.35">
      <c r="A352" s="3"/>
      <c r="B352" s="3"/>
      <c r="C352" s="3"/>
      <c r="D352" s="3"/>
      <c r="E352" s="3"/>
      <c r="F352" s="3"/>
      <c r="G352" s="3"/>
      <c r="H352" s="3"/>
      <c r="I352" s="3"/>
      <c r="J352" s="3"/>
      <c r="K352" s="3"/>
      <c r="L352" s="3"/>
      <c r="M352" s="3"/>
      <c r="N352" s="3"/>
      <c r="O352" s="3"/>
      <c r="P352" s="3"/>
      <c r="Q352" s="3"/>
      <c r="R352" s="3"/>
      <c r="S352" s="3"/>
      <c r="T352" s="3"/>
      <c r="U352" s="3"/>
      <c r="V352" s="3"/>
      <c r="W352" s="3"/>
    </row>
    <row r="353" spans="1:23" x14ac:dyDescent="0.35">
      <c r="A353" s="3"/>
      <c r="B353" s="3"/>
      <c r="C353" s="3"/>
      <c r="D353" s="3"/>
      <c r="E353" s="3"/>
      <c r="F353" s="3"/>
      <c r="G353" s="3"/>
      <c r="H353" s="3"/>
      <c r="I353" s="3"/>
      <c r="J353" s="3"/>
      <c r="K353" s="3"/>
      <c r="L353" s="3"/>
      <c r="M353" s="3"/>
      <c r="N353" s="3"/>
      <c r="O353" s="3"/>
      <c r="P353" s="3"/>
      <c r="Q353" s="3"/>
      <c r="R353" s="3"/>
      <c r="S353" s="3"/>
      <c r="T353" s="3"/>
      <c r="U353" s="3"/>
      <c r="V353" s="3"/>
      <c r="W353" s="3"/>
    </row>
    <row r="354" spans="1:23" x14ac:dyDescent="0.35">
      <c r="A354" s="3"/>
      <c r="B354" s="3"/>
      <c r="C354" s="3"/>
      <c r="D354" s="3"/>
      <c r="E354" s="3"/>
      <c r="F354" s="3"/>
      <c r="G354" s="3"/>
      <c r="H354" s="3"/>
      <c r="I354" s="3"/>
      <c r="J354" s="3"/>
      <c r="K354" s="3"/>
      <c r="L354" s="3"/>
      <c r="M354" s="3"/>
      <c r="N354" s="3"/>
      <c r="O354" s="3"/>
      <c r="P354" s="3"/>
      <c r="Q354" s="3"/>
      <c r="R354" s="3"/>
      <c r="S354" s="3"/>
      <c r="T354" s="3"/>
      <c r="U354" s="3"/>
      <c r="V354" s="3"/>
      <c r="W354" s="3"/>
    </row>
    <row r="355" spans="1:23" x14ac:dyDescent="0.35">
      <c r="A355" s="3"/>
      <c r="B355" s="3"/>
      <c r="C355" s="3"/>
      <c r="D355" s="3"/>
      <c r="E355" s="3"/>
      <c r="F355" s="3"/>
      <c r="G355" s="3"/>
      <c r="H355" s="3"/>
      <c r="I355" s="3"/>
      <c r="J355" s="3"/>
      <c r="K355" s="3"/>
      <c r="L355" s="3"/>
      <c r="M355" s="3"/>
      <c r="N355" s="3"/>
      <c r="O355" s="3"/>
      <c r="P355" s="3"/>
      <c r="Q355" s="3"/>
      <c r="R355" s="3"/>
      <c r="S355" s="3"/>
      <c r="T355" s="3"/>
      <c r="U355" s="3"/>
      <c r="V355" s="3"/>
      <c r="W355" s="3"/>
    </row>
    <row r="356" spans="1:23" x14ac:dyDescent="0.35">
      <c r="A356" s="3"/>
      <c r="B356" s="3"/>
      <c r="C356" s="3"/>
      <c r="D356" s="3"/>
      <c r="E356" s="3"/>
      <c r="F356" s="3"/>
      <c r="G356" s="3"/>
      <c r="H356" s="3"/>
      <c r="I356" s="3"/>
      <c r="J356" s="3"/>
      <c r="K356" s="3"/>
      <c r="L356" s="3"/>
      <c r="M356" s="3"/>
      <c r="N356" s="3"/>
      <c r="O356" s="3"/>
      <c r="P356" s="3"/>
      <c r="Q356" s="3"/>
      <c r="R356" s="3"/>
      <c r="S356" s="3"/>
      <c r="T356" s="3"/>
      <c r="U356" s="3"/>
      <c r="V356" s="3"/>
      <c r="W356" s="3"/>
    </row>
    <row r="357" spans="1:23" x14ac:dyDescent="0.35">
      <c r="A357" s="3"/>
      <c r="B357" s="3"/>
      <c r="C357" s="3"/>
      <c r="D357" s="3"/>
      <c r="E357" s="3"/>
      <c r="F357" s="3"/>
      <c r="G357" s="3"/>
      <c r="H357" s="3"/>
      <c r="I357" s="3"/>
      <c r="J357" s="3"/>
      <c r="K357" s="3"/>
      <c r="L357" s="3"/>
      <c r="M357" s="3"/>
      <c r="N357" s="3"/>
      <c r="O357" s="3"/>
      <c r="P357" s="3"/>
      <c r="Q357" s="3"/>
      <c r="R357" s="3"/>
      <c r="S357" s="3"/>
      <c r="T357" s="3"/>
      <c r="U357" s="3"/>
      <c r="V357" s="3"/>
      <c r="W357" s="3"/>
    </row>
    <row r="358" spans="1:23" x14ac:dyDescent="0.35">
      <c r="A358" s="3"/>
      <c r="B358" s="3"/>
      <c r="C358" s="3"/>
      <c r="D358" s="3"/>
      <c r="E358" s="3"/>
      <c r="F358" s="3"/>
      <c r="G358" s="3"/>
      <c r="H358" s="3"/>
      <c r="I358" s="3"/>
      <c r="J358" s="3"/>
      <c r="K358" s="3"/>
      <c r="L358" s="3"/>
      <c r="M358" s="3"/>
      <c r="N358" s="3"/>
      <c r="O358" s="3"/>
      <c r="P358" s="3"/>
      <c r="Q358" s="3"/>
      <c r="R358" s="3"/>
      <c r="S358" s="3"/>
      <c r="T358" s="3"/>
      <c r="U358" s="3"/>
      <c r="V358" s="3"/>
      <c r="W358" s="3"/>
    </row>
    <row r="359" spans="1:23" x14ac:dyDescent="0.35">
      <c r="A359" s="3"/>
      <c r="B359" s="3"/>
      <c r="C359" s="3"/>
      <c r="D359" s="3"/>
      <c r="E359" s="3"/>
      <c r="F359" s="3"/>
      <c r="G359" s="3"/>
      <c r="H359" s="3"/>
      <c r="I359" s="3"/>
      <c r="J359" s="3"/>
      <c r="K359" s="3"/>
      <c r="L359" s="3"/>
      <c r="M359" s="3"/>
      <c r="N359" s="3"/>
      <c r="O359" s="3"/>
      <c r="P359" s="3"/>
      <c r="Q359" s="3"/>
      <c r="R359" s="3"/>
      <c r="S359" s="3"/>
      <c r="T359" s="3"/>
      <c r="U359" s="3"/>
      <c r="V359" s="3"/>
      <c r="W359" s="3"/>
    </row>
    <row r="360" spans="1:23" x14ac:dyDescent="0.35">
      <c r="A360" s="3"/>
      <c r="B360" s="3"/>
      <c r="C360" s="3"/>
      <c r="D360" s="3"/>
      <c r="E360" s="3"/>
      <c r="F360" s="3"/>
      <c r="G360" s="3"/>
      <c r="H360" s="3"/>
      <c r="I360" s="3"/>
      <c r="J360" s="3"/>
      <c r="K360" s="3"/>
      <c r="L360" s="3"/>
      <c r="M360" s="3"/>
      <c r="N360" s="3"/>
      <c r="O360" s="3"/>
      <c r="P360" s="3"/>
      <c r="Q360" s="3"/>
      <c r="R360" s="3"/>
      <c r="S360" s="3"/>
      <c r="T360" s="3"/>
      <c r="U360" s="3"/>
      <c r="V360" s="3"/>
      <c r="W360" s="3"/>
    </row>
    <row r="361" spans="1:23" x14ac:dyDescent="0.35">
      <c r="A361" s="3"/>
      <c r="B361" s="3"/>
      <c r="C361" s="3"/>
      <c r="D361" s="3"/>
      <c r="E361" s="3"/>
      <c r="F361" s="3"/>
      <c r="G361" s="3"/>
      <c r="H361" s="3"/>
      <c r="I361" s="3"/>
      <c r="J361" s="3"/>
      <c r="K361" s="3"/>
      <c r="L361" s="3"/>
      <c r="M361" s="3"/>
      <c r="N361" s="3"/>
      <c r="O361" s="3"/>
      <c r="P361" s="3"/>
      <c r="Q361" s="3"/>
      <c r="R361" s="3"/>
      <c r="S361" s="3"/>
      <c r="T361" s="3"/>
      <c r="U361" s="3"/>
      <c r="V361" s="3"/>
      <c r="W361" s="3"/>
    </row>
    <row r="362" spans="1:23" x14ac:dyDescent="0.35">
      <c r="A362" s="3"/>
      <c r="B362" s="3"/>
      <c r="C362" s="3"/>
      <c r="D362" s="3"/>
      <c r="E362" s="3"/>
      <c r="F362" s="3"/>
      <c r="G362" s="3"/>
      <c r="H362" s="3"/>
      <c r="I362" s="3"/>
      <c r="J362" s="3"/>
      <c r="K362" s="3"/>
      <c r="L362" s="3"/>
      <c r="M362" s="3"/>
      <c r="N362" s="3"/>
      <c r="O362" s="3"/>
      <c r="P362" s="3"/>
      <c r="Q362" s="3"/>
      <c r="R362" s="3"/>
      <c r="S362" s="3"/>
      <c r="T362" s="3"/>
      <c r="U362" s="3"/>
      <c r="V362" s="3"/>
      <c r="W362" s="3"/>
    </row>
    <row r="363" spans="1:23" x14ac:dyDescent="0.35">
      <c r="A363" s="3"/>
      <c r="B363" s="3"/>
      <c r="C363" s="3"/>
      <c r="D363" s="3"/>
      <c r="E363" s="3"/>
      <c r="F363" s="3"/>
      <c r="G363" s="3"/>
      <c r="H363" s="3"/>
      <c r="I363" s="3"/>
      <c r="J363" s="3"/>
      <c r="K363" s="3"/>
      <c r="L363" s="3"/>
      <c r="M363" s="3"/>
      <c r="N363" s="3"/>
      <c r="O363" s="3"/>
      <c r="P363" s="3"/>
      <c r="Q363" s="3"/>
      <c r="R363" s="3"/>
      <c r="S363" s="3"/>
      <c r="T363" s="3"/>
      <c r="U363" s="3"/>
      <c r="V363" s="3"/>
      <c r="W363" s="3"/>
    </row>
    <row r="364" spans="1:23" x14ac:dyDescent="0.35">
      <c r="A364" s="3"/>
      <c r="B364" s="3"/>
      <c r="C364" s="3"/>
      <c r="D364" s="3"/>
      <c r="E364" s="3"/>
      <c r="F364" s="3"/>
      <c r="G364" s="3"/>
      <c r="H364" s="3"/>
      <c r="I364" s="3"/>
      <c r="J364" s="3"/>
      <c r="K364" s="3"/>
      <c r="L364" s="3"/>
      <c r="M364" s="3"/>
      <c r="N364" s="3"/>
      <c r="O364" s="3"/>
      <c r="P364" s="3"/>
      <c r="Q364" s="3"/>
      <c r="R364" s="3"/>
      <c r="S364" s="3"/>
      <c r="T364" s="3"/>
      <c r="U364" s="3"/>
      <c r="V364" s="3"/>
      <c r="W364" s="3"/>
    </row>
    <row r="365" spans="1:23" x14ac:dyDescent="0.35">
      <c r="A365" s="3"/>
      <c r="B365" s="3"/>
      <c r="C365" s="3"/>
      <c r="D365" s="3"/>
      <c r="E365" s="3"/>
      <c r="F365" s="3"/>
      <c r="G365" s="3"/>
      <c r="H365" s="3"/>
      <c r="I365" s="3"/>
      <c r="J365" s="3"/>
      <c r="K365" s="3"/>
      <c r="L365" s="3"/>
      <c r="M365" s="3"/>
      <c r="N365" s="3"/>
      <c r="O365" s="3"/>
      <c r="P365" s="3"/>
      <c r="Q365" s="3"/>
      <c r="R365" s="3"/>
      <c r="S365" s="3"/>
      <c r="T365" s="3"/>
      <c r="U365" s="3"/>
      <c r="V365" s="3"/>
      <c r="W365" s="3"/>
    </row>
    <row r="366" spans="1:23" x14ac:dyDescent="0.35">
      <c r="A366" s="3"/>
      <c r="B366" s="3"/>
      <c r="C366" s="3"/>
      <c r="D366" s="3"/>
      <c r="E366" s="3"/>
      <c r="F366" s="3"/>
      <c r="G366" s="3"/>
      <c r="H366" s="3"/>
      <c r="I366" s="3"/>
      <c r="J366" s="3"/>
      <c r="K366" s="3"/>
      <c r="L366" s="3"/>
      <c r="M366" s="3"/>
      <c r="N366" s="3"/>
      <c r="O366" s="3"/>
      <c r="P366" s="3"/>
      <c r="Q366" s="3"/>
      <c r="R366" s="3"/>
      <c r="S366" s="3"/>
      <c r="T366" s="3"/>
      <c r="U366" s="3"/>
      <c r="V366" s="3"/>
      <c r="W366" s="3"/>
    </row>
    <row r="367" spans="1:23" x14ac:dyDescent="0.35">
      <c r="A367" s="3"/>
      <c r="B367" s="3"/>
      <c r="C367" s="3"/>
      <c r="D367" s="3"/>
      <c r="E367" s="3"/>
      <c r="F367" s="3"/>
      <c r="G367" s="3"/>
      <c r="H367" s="3"/>
      <c r="I367" s="3"/>
      <c r="J367" s="3"/>
      <c r="K367" s="3"/>
      <c r="L367" s="3"/>
      <c r="M367" s="3"/>
      <c r="N367" s="3"/>
      <c r="O367" s="3"/>
      <c r="P367" s="3"/>
      <c r="Q367" s="3"/>
      <c r="R367" s="3"/>
      <c r="S367" s="3"/>
      <c r="T367" s="3"/>
      <c r="U367" s="3"/>
      <c r="V367" s="3"/>
      <c r="W367" s="3"/>
    </row>
    <row r="368" spans="1:23" x14ac:dyDescent="0.35">
      <c r="A368" s="3"/>
      <c r="B368" s="3"/>
      <c r="C368" s="3"/>
      <c r="D368" s="3"/>
      <c r="E368" s="3"/>
      <c r="F368" s="3"/>
      <c r="G368" s="3"/>
      <c r="H368" s="3"/>
      <c r="I368" s="3"/>
      <c r="J368" s="3"/>
      <c r="K368" s="3"/>
      <c r="L368" s="3"/>
      <c r="M368" s="3"/>
      <c r="N368" s="3"/>
      <c r="O368" s="3"/>
      <c r="P368" s="3"/>
      <c r="Q368" s="3"/>
      <c r="R368" s="3"/>
      <c r="S368" s="3"/>
      <c r="T368" s="3"/>
      <c r="U368" s="3"/>
      <c r="V368" s="3"/>
      <c r="W368" s="3"/>
    </row>
    <row r="369" spans="1:23" x14ac:dyDescent="0.35">
      <c r="A369" s="3"/>
      <c r="B369" s="3"/>
      <c r="C369" s="3"/>
      <c r="D369" s="3"/>
      <c r="E369" s="3"/>
      <c r="F369" s="3"/>
      <c r="G369" s="3"/>
      <c r="H369" s="3"/>
      <c r="I369" s="3"/>
      <c r="J369" s="3"/>
      <c r="K369" s="3"/>
      <c r="L369" s="3"/>
      <c r="M369" s="3"/>
      <c r="N369" s="3"/>
      <c r="O369" s="3"/>
      <c r="P369" s="3"/>
      <c r="Q369" s="3"/>
      <c r="R369" s="3"/>
      <c r="S369" s="3"/>
      <c r="T369" s="3"/>
      <c r="U369" s="3"/>
      <c r="V369" s="3"/>
      <c r="W369" s="3"/>
    </row>
    <row r="370" spans="1:23" x14ac:dyDescent="0.35">
      <c r="A370" s="3"/>
      <c r="B370" s="3"/>
      <c r="C370" s="3"/>
      <c r="D370" s="3"/>
      <c r="E370" s="3"/>
      <c r="F370" s="3"/>
      <c r="G370" s="3"/>
      <c r="H370" s="3"/>
      <c r="I370" s="3"/>
      <c r="J370" s="3"/>
      <c r="K370" s="3"/>
      <c r="L370" s="3"/>
      <c r="M370" s="3"/>
      <c r="N370" s="3"/>
      <c r="O370" s="3"/>
      <c r="P370" s="3"/>
      <c r="Q370" s="3"/>
      <c r="R370" s="3"/>
      <c r="S370" s="3"/>
      <c r="T370" s="3"/>
      <c r="U370" s="3"/>
      <c r="V370" s="3"/>
      <c r="W370" s="3"/>
    </row>
    <row r="371" spans="1:23" x14ac:dyDescent="0.35">
      <c r="A371" s="3"/>
      <c r="B371" s="3"/>
      <c r="C371" s="3"/>
      <c r="D371" s="3"/>
      <c r="E371" s="3"/>
      <c r="F371" s="3"/>
      <c r="G371" s="3"/>
      <c r="H371" s="3"/>
      <c r="I371" s="3"/>
      <c r="J371" s="3"/>
      <c r="K371" s="3"/>
      <c r="L371" s="3"/>
      <c r="M371" s="3"/>
      <c r="N371" s="3"/>
      <c r="O371" s="3"/>
      <c r="P371" s="3"/>
      <c r="Q371" s="3"/>
      <c r="R371" s="3"/>
      <c r="S371" s="3"/>
      <c r="T371" s="3"/>
      <c r="U371" s="3"/>
      <c r="V371" s="3"/>
      <c r="W371" s="3"/>
    </row>
    <row r="372" spans="1:23" x14ac:dyDescent="0.35">
      <c r="A372" s="3"/>
      <c r="B372" s="3"/>
      <c r="C372" s="3"/>
      <c r="D372" s="3"/>
      <c r="E372" s="3"/>
      <c r="F372" s="3"/>
      <c r="G372" s="3"/>
      <c r="H372" s="3"/>
      <c r="I372" s="3"/>
      <c r="J372" s="3"/>
      <c r="K372" s="3"/>
      <c r="L372" s="3"/>
      <c r="M372" s="3"/>
      <c r="N372" s="3"/>
      <c r="O372" s="3"/>
      <c r="P372" s="3"/>
      <c r="Q372" s="3"/>
      <c r="R372" s="3"/>
      <c r="S372" s="3"/>
      <c r="T372" s="3"/>
      <c r="U372" s="3"/>
      <c r="V372" s="3"/>
      <c r="W372" s="3"/>
    </row>
    <row r="373" spans="1:23" x14ac:dyDescent="0.35">
      <c r="A373" s="3"/>
      <c r="B373" s="3"/>
      <c r="C373" s="3"/>
      <c r="D373" s="3"/>
      <c r="E373" s="3"/>
      <c r="F373" s="3"/>
      <c r="G373" s="3"/>
      <c r="H373" s="3"/>
      <c r="I373" s="3"/>
      <c r="J373" s="3"/>
      <c r="K373" s="3"/>
      <c r="L373" s="3"/>
      <c r="M373" s="3"/>
      <c r="N373" s="3"/>
      <c r="O373" s="3"/>
      <c r="P373" s="3"/>
      <c r="Q373" s="3"/>
      <c r="R373" s="3"/>
      <c r="S373" s="3"/>
      <c r="T373" s="3"/>
      <c r="U373" s="3"/>
      <c r="V373" s="3"/>
      <c r="W373" s="3"/>
    </row>
    <row r="374" spans="1:23" x14ac:dyDescent="0.35">
      <c r="A374" s="3"/>
      <c r="B374" s="3"/>
      <c r="C374" s="3"/>
      <c r="D374" s="3"/>
      <c r="E374" s="3"/>
      <c r="F374" s="3"/>
      <c r="G374" s="3"/>
      <c r="H374" s="3"/>
      <c r="I374" s="3"/>
      <c r="J374" s="3"/>
      <c r="K374" s="3"/>
      <c r="L374" s="3"/>
      <c r="M374" s="3"/>
      <c r="N374" s="3"/>
      <c r="O374" s="3"/>
      <c r="P374" s="3"/>
      <c r="Q374" s="3"/>
      <c r="R374" s="3"/>
      <c r="S374" s="3"/>
      <c r="T374" s="3"/>
      <c r="U374" s="3"/>
      <c r="V374" s="3"/>
      <c r="W374" s="3"/>
    </row>
    <row r="375" spans="1:23" x14ac:dyDescent="0.35">
      <c r="A375" s="3"/>
      <c r="B375" s="3"/>
      <c r="C375" s="3"/>
      <c r="D375" s="3"/>
      <c r="E375" s="3"/>
      <c r="F375" s="3"/>
      <c r="G375" s="3"/>
      <c r="H375" s="3"/>
      <c r="I375" s="3"/>
      <c r="J375" s="3"/>
      <c r="K375" s="3"/>
      <c r="L375" s="3"/>
      <c r="M375" s="3"/>
      <c r="N375" s="3"/>
      <c r="O375" s="3"/>
      <c r="P375" s="3"/>
      <c r="Q375" s="3"/>
      <c r="R375" s="3"/>
      <c r="S375" s="3"/>
      <c r="T375" s="3"/>
      <c r="U375" s="3"/>
      <c r="V375" s="3"/>
      <c r="W375" s="3"/>
    </row>
    <row r="376" spans="1:23" x14ac:dyDescent="0.35">
      <c r="A376" s="3"/>
      <c r="B376" s="3"/>
      <c r="C376" s="3"/>
      <c r="D376" s="3"/>
      <c r="E376" s="3"/>
      <c r="F376" s="3"/>
      <c r="G376" s="3"/>
      <c r="H376" s="3"/>
      <c r="I376" s="3"/>
      <c r="J376" s="3"/>
      <c r="K376" s="3"/>
      <c r="L376" s="3"/>
      <c r="M376" s="3"/>
      <c r="N376" s="3"/>
      <c r="O376" s="3"/>
      <c r="P376" s="3"/>
      <c r="Q376" s="3"/>
      <c r="R376" s="3"/>
      <c r="S376" s="3"/>
      <c r="T376" s="3"/>
      <c r="U376" s="3"/>
      <c r="V376" s="3"/>
      <c r="W376" s="3"/>
    </row>
    <row r="377" spans="1:23" x14ac:dyDescent="0.35">
      <c r="A377" s="3"/>
      <c r="B377" s="3"/>
      <c r="C377" s="3"/>
      <c r="D377" s="3"/>
      <c r="E377" s="3"/>
      <c r="F377" s="3"/>
      <c r="G377" s="3"/>
      <c r="H377" s="3"/>
      <c r="I377" s="3"/>
      <c r="J377" s="3"/>
      <c r="K377" s="3"/>
      <c r="L377" s="3"/>
      <c r="M377" s="3"/>
      <c r="N377" s="3"/>
      <c r="O377" s="3"/>
      <c r="P377" s="3"/>
      <c r="Q377" s="3"/>
      <c r="R377" s="3"/>
      <c r="S377" s="3"/>
      <c r="T377" s="3"/>
      <c r="U377" s="3"/>
      <c r="V377" s="3"/>
      <c r="W377" s="3"/>
    </row>
    <row r="378" spans="1:23" x14ac:dyDescent="0.35">
      <c r="A378" s="3"/>
      <c r="B378" s="3"/>
      <c r="C378" s="3"/>
      <c r="D378" s="3"/>
      <c r="E378" s="3"/>
      <c r="F378" s="3"/>
      <c r="G378" s="3"/>
      <c r="H378" s="3"/>
      <c r="I378" s="3"/>
      <c r="J378" s="3"/>
      <c r="K378" s="3"/>
      <c r="L378" s="3"/>
      <c r="M378" s="3"/>
      <c r="N378" s="3"/>
      <c r="O378" s="3"/>
      <c r="P378" s="3"/>
      <c r="Q378" s="3"/>
      <c r="R378" s="3"/>
      <c r="S378" s="3"/>
      <c r="T378" s="3"/>
      <c r="U378" s="3"/>
      <c r="V378" s="3"/>
      <c r="W378" s="3"/>
    </row>
    <row r="379" spans="1:23" x14ac:dyDescent="0.35">
      <c r="A379" s="3"/>
      <c r="B379" s="3"/>
      <c r="C379" s="3"/>
      <c r="D379" s="3"/>
      <c r="E379" s="3"/>
      <c r="F379" s="3"/>
      <c r="G379" s="3"/>
      <c r="H379" s="3"/>
      <c r="I379" s="3"/>
      <c r="J379" s="3"/>
      <c r="K379" s="3"/>
      <c r="L379" s="3"/>
      <c r="M379" s="3"/>
      <c r="N379" s="3"/>
      <c r="O379" s="3"/>
      <c r="P379" s="3"/>
      <c r="Q379" s="3"/>
      <c r="R379" s="3"/>
      <c r="S379" s="3"/>
      <c r="T379" s="3"/>
      <c r="U379" s="3"/>
      <c r="V379" s="3"/>
      <c r="W379" s="3"/>
    </row>
    <row r="380" spans="1:23" x14ac:dyDescent="0.35">
      <c r="A380" s="3"/>
      <c r="B380" s="3"/>
      <c r="C380" s="3"/>
      <c r="D380" s="3"/>
      <c r="E380" s="3"/>
      <c r="F380" s="3"/>
      <c r="G380" s="3"/>
      <c r="H380" s="3"/>
      <c r="I380" s="3"/>
      <c r="J380" s="3"/>
      <c r="K380" s="3"/>
      <c r="L380" s="3"/>
      <c r="M380" s="3"/>
      <c r="N380" s="3"/>
      <c r="O380" s="3"/>
      <c r="P380" s="3"/>
      <c r="Q380" s="3"/>
      <c r="R380" s="3"/>
      <c r="S380" s="3"/>
      <c r="T380" s="3"/>
      <c r="U380" s="3"/>
      <c r="V380" s="3"/>
      <c r="W380" s="3"/>
    </row>
    <row r="381" spans="1:23" x14ac:dyDescent="0.35">
      <c r="A381" s="3"/>
      <c r="B381" s="3"/>
      <c r="C381" s="3"/>
      <c r="D381" s="3"/>
      <c r="E381" s="3"/>
      <c r="F381" s="3"/>
      <c r="G381" s="3"/>
      <c r="H381" s="3"/>
      <c r="I381" s="3"/>
      <c r="J381" s="3"/>
      <c r="K381" s="3"/>
      <c r="L381" s="3"/>
      <c r="M381" s="3"/>
      <c r="N381" s="3"/>
      <c r="O381" s="3"/>
      <c r="P381" s="3"/>
      <c r="Q381" s="3"/>
      <c r="R381" s="3"/>
      <c r="S381" s="3"/>
      <c r="T381" s="3"/>
      <c r="U381" s="3"/>
      <c r="V381" s="3"/>
      <c r="W381" s="3"/>
    </row>
    <row r="382" spans="1:23" x14ac:dyDescent="0.35">
      <c r="A382" s="3"/>
      <c r="B382" s="3"/>
      <c r="C382" s="3"/>
      <c r="D382" s="3"/>
      <c r="E382" s="3"/>
      <c r="F382" s="3"/>
      <c r="G382" s="3"/>
      <c r="H382" s="3"/>
      <c r="I382" s="3"/>
      <c r="J382" s="3"/>
      <c r="K382" s="3"/>
      <c r="L382" s="3"/>
      <c r="M382" s="3"/>
      <c r="N382" s="3"/>
      <c r="O382" s="3"/>
      <c r="P382" s="3"/>
      <c r="Q382" s="3"/>
      <c r="R382" s="3"/>
      <c r="S382" s="3"/>
      <c r="T382" s="3"/>
      <c r="U382" s="3"/>
      <c r="V382" s="3"/>
      <c r="W382" s="3"/>
    </row>
    <row r="383" spans="1:23" x14ac:dyDescent="0.35">
      <c r="A383" s="3"/>
      <c r="B383" s="3"/>
      <c r="C383" s="3"/>
      <c r="D383" s="3"/>
      <c r="E383" s="3"/>
      <c r="F383" s="3"/>
      <c r="G383" s="3"/>
      <c r="H383" s="3"/>
      <c r="I383" s="3"/>
      <c r="J383" s="3"/>
      <c r="K383" s="3"/>
      <c r="L383" s="3"/>
      <c r="M383" s="3"/>
      <c r="N383" s="3"/>
      <c r="O383" s="3"/>
      <c r="P383" s="3"/>
      <c r="Q383" s="3"/>
      <c r="R383" s="3"/>
      <c r="S383" s="3"/>
      <c r="T383" s="3"/>
      <c r="U383" s="3"/>
      <c r="V383" s="3"/>
      <c r="W383" s="3"/>
    </row>
    <row r="384" spans="1:23" x14ac:dyDescent="0.35">
      <c r="A384" s="3"/>
      <c r="B384" s="3"/>
      <c r="C384" s="3"/>
      <c r="D384" s="3"/>
      <c r="E384" s="3"/>
      <c r="F384" s="3"/>
      <c r="G384" s="3"/>
      <c r="H384" s="3"/>
      <c r="I384" s="3"/>
      <c r="J384" s="3"/>
      <c r="K384" s="3"/>
      <c r="L384" s="3"/>
      <c r="M384" s="3"/>
      <c r="N384" s="3"/>
      <c r="O384" s="3"/>
      <c r="P384" s="3"/>
      <c r="Q384" s="3"/>
      <c r="R384" s="3"/>
      <c r="S384" s="3"/>
      <c r="T384" s="3"/>
      <c r="U384" s="3"/>
      <c r="V384" s="3"/>
      <c r="W384" s="3"/>
    </row>
    <row r="385" spans="1:23" x14ac:dyDescent="0.35">
      <c r="A385" s="3"/>
      <c r="B385" s="3"/>
      <c r="C385" s="3"/>
      <c r="D385" s="3"/>
      <c r="E385" s="3"/>
      <c r="F385" s="3"/>
      <c r="G385" s="3"/>
      <c r="H385" s="3"/>
      <c r="I385" s="3"/>
      <c r="J385" s="3"/>
      <c r="K385" s="3"/>
      <c r="L385" s="3"/>
      <c r="M385" s="3"/>
      <c r="N385" s="3"/>
      <c r="O385" s="3"/>
      <c r="P385" s="3"/>
      <c r="Q385" s="3"/>
      <c r="R385" s="3"/>
      <c r="S385" s="3"/>
      <c r="T385" s="3"/>
      <c r="U385" s="3"/>
      <c r="V385" s="3"/>
      <c r="W385" s="3"/>
    </row>
    <row r="386" spans="1:23" x14ac:dyDescent="0.35">
      <c r="A386" s="3"/>
      <c r="B386" s="3"/>
      <c r="C386" s="3"/>
      <c r="D386" s="3"/>
      <c r="E386" s="3"/>
      <c r="F386" s="3"/>
      <c r="G386" s="3"/>
      <c r="H386" s="3"/>
      <c r="I386" s="3"/>
      <c r="J386" s="3"/>
      <c r="K386" s="3"/>
      <c r="L386" s="3"/>
      <c r="M386" s="3"/>
      <c r="N386" s="3"/>
      <c r="O386" s="3"/>
      <c r="P386" s="3"/>
      <c r="Q386" s="3"/>
      <c r="R386" s="3"/>
      <c r="S386" s="3"/>
      <c r="T386" s="3"/>
      <c r="U386" s="3"/>
      <c r="V386" s="3"/>
      <c r="W386" s="3"/>
    </row>
    <row r="387" spans="1:23" x14ac:dyDescent="0.35">
      <c r="A387" s="3"/>
      <c r="B387" s="3"/>
      <c r="C387" s="3"/>
      <c r="D387" s="3"/>
      <c r="E387" s="3"/>
      <c r="F387" s="3"/>
      <c r="G387" s="3"/>
      <c r="H387" s="3"/>
      <c r="I387" s="3"/>
      <c r="J387" s="3"/>
      <c r="K387" s="3"/>
      <c r="L387" s="3"/>
      <c r="M387" s="3"/>
      <c r="N387" s="3"/>
      <c r="O387" s="3"/>
      <c r="P387" s="3"/>
      <c r="Q387" s="3"/>
      <c r="R387" s="3"/>
      <c r="S387" s="3"/>
      <c r="T387" s="3"/>
      <c r="U387" s="3"/>
      <c r="V387" s="3"/>
      <c r="W387" s="3"/>
    </row>
    <row r="388" spans="1:23" x14ac:dyDescent="0.35">
      <c r="A388" s="3"/>
      <c r="B388" s="3"/>
      <c r="C388" s="3"/>
      <c r="D388" s="3"/>
      <c r="E388" s="3"/>
      <c r="F388" s="3"/>
      <c r="G388" s="3"/>
      <c r="H388" s="3"/>
      <c r="I388" s="3"/>
      <c r="J388" s="3"/>
      <c r="K388" s="3"/>
      <c r="L388" s="3"/>
      <c r="M388" s="3"/>
      <c r="N388" s="3"/>
      <c r="O388" s="3"/>
      <c r="P388" s="3"/>
      <c r="Q388" s="3"/>
      <c r="R388" s="3"/>
      <c r="S388" s="3"/>
      <c r="T388" s="3"/>
      <c r="U388" s="3"/>
      <c r="V388" s="3"/>
      <c r="W388" s="3"/>
    </row>
    <row r="389" spans="1:23" x14ac:dyDescent="0.35">
      <c r="A389" s="3"/>
      <c r="B389" s="3"/>
      <c r="C389" s="3"/>
      <c r="D389" s="3"/>
      <c r="E389" s="3"/>
      <c r="F389" s="3"/>
      <c r="G389" s="3"/>
      <c r="H389" s="3"/>
      <c r="I389" s="3"/>
      <c r="J389" s="3"/>
      <c r="K389" s="3"/>
      <c r="L389" s="3"/>
      <c r="M389" s="3"/>
      <c r="N389" s="3"/>
      <c r="O389" s="3"/>
      <c r="P389" s="3"/>
      <c r="Q389" s="3"/>
      <c r="R389" s="3"/>
      <c r="S389" s="3"/>
      <c r="T389" s="3"/>
      <c r="U389" s="3"/>
      <c r="V389" s="3"/>
      <c r="W389" s="3"/>
    </row>
    <row r="390" spans="1:23" x14ac:dyDescent="0.35">
      <c r="A390" s="3"/>
      <c r="B390" s="3"/>
      <c r="C390" s="3"/>
      <c r="D390" s="3"/>
      <c r="E390" s="3"/>
      <c r="F390" s="3"/>
      <c r="G390" s="3"/>
      <c r="H390" s="3"/>
      <c r="I390" s="3"/>
      <c r="J390" s="3"/>
      <c r="K390" s="3"/>
      <c r="L390" s="3"/>
      <c r="M390" s="3"/>
      <c r="N390" s="3"/>
      <c r="O390" s="3"/>
      <c r="P390" s="3"/>
      <c r="Q390" s="3"/>
      <c r="R390" s="3"/>
      <c r="S390" s="3"/>
      <c r="T390" s="3"/>
      <c r="U390" s="3"/>
      <c r="V390" s="3"/>
      <c r="W390" s="3"/>
    </row>
    <row r="391" spans="1:23" x14ac:dyDescent="0.35">
      <c r="A391" s="3"/>
      <c r="B391" s="3"/>
      <c r="C391" s="3"/>
      <c r="D391" s="3"/>
      <c r="E391" s="3"/>
      <c r="F391" s="3"/>
      <c r="G391" s="3"/>
      <c r="H391" s="3"/>
      <c r="I391" s="3"/>
      <c r="J391" s="3"/>
      <c r="K391" s="3"/>
      <c r="L391" s="3"/>
      <c r="M391" s="3"/>
      <c r="N391" s="3"/>
      <c r="O391" s="3"/>
      <c r="P391" s="3"/>
      <c r="Q391" s="3"/>
      <c r="R391" s="3"/>
      <c r="S391" s="3"/>
      <c r="T391" s="3"/>
      <c r="U391" s="3"/>
      <c r="V391" s="3"/>
      <c r="W391" s="3"/>
    </row>
    <row r="392" spans="1:23" x14ac:dyDescent="0.35">
      <c r="A392" s="3"/>
      <c r="B392" s="3"/>
      <c r="C392" s="3"/>
      <c r="D392" s="3"/>
      <c r="E392" s="3"/>
      <c r="F392" s="3"/>
      <c r="G392" s="3"/>
      <c r="H392" s="3"/>
      <c r="I392" s="3"/>
      <c r="J392" s="3"/>
      <c r="K392" s="3"/>
      <c r="L392" s="3"/>
      <c r="M392" s="3"/>
      <c r="N392" s="3"/>
      <c r="O392" s="3"/>
      <c r="P392" s="3"/>
      <c r="Q392" s="3"/>
      <c r="R392" s="3"/>
      <c r="S392" s="3"/>
      <c r="T392" s="3"/>
      <c r="U392" s="3"/>
      <c r="V392" s="3"/>
      <c r="W392" s="3"/>
    </row>
    <row r="393" spans="1:23" x14ac:dyDescent="0.35">
      <c r="A393" s="3"/>
      <c r="B393" s="3"/>
      <c r="C393" s="3"/>
      <c r="D393" s="3"/>
      <c r="E393" s="3"/>
      <c r="F393" s="3"/>
      <c r="G393" s="3"/>
      <c r="H393" s="3"/>
      <c r="I393" s="3"/>
      <c r="J393" s="3"/>
      <c r="K393" s="3"/>
      <c r="L393" s="3"/>
      <c r="M393" s="3"/>
      <c r="N393" s="3"/>
      <c r="O393" s="3"/>
      <c r="P393" s="3"/>
      <c r="Q393" s="3"/>
      <c r="R393" s="3"/>
      <c r="S393" s="3"/>
      <c r="T393" s="3"/>
      <c r="U393" s="3"/>
      <c r="V393" s="3"/>
      <c r="W393" s="3"/>
    </row>
    <row r="394" spans="1:23" x14ac:dyDescent="0.35">
      <c r="A394" s="3"/>
      <c r="B394" s="3"/>
      <c r="C394" s="3"/>
      <c r="D394" s="3"/>
      <c r="E394" s="3"/>
      <c r="F394" s="3"/>
      <c r="G394" s="3"/>
      <c r="H394" s="3"/>
      <c r="I394" s="3"/>
      <c r="J394" s="3"/>
      <c r="K394" s="3"/>
      <c r="L394" s="3"/>
      <c r="M394" s="3"/>
      <c r="N394" s="3"/>
      <c r="O394" s="3"/>
      <c r="P394" s="3"/>
      <c r="Q394" s="3"/>
      <c r="R394" s="3"/>
      <c r="S394" s="3"/>
      <c r="T394" s="3"/>
      <c r="U394" s="3"/>
      <c r="V394" s="3"/>
      <c r="W394" s="3"/>
    </row>
    <row r="395" spans="1:23" x14ac:dyDescent="0.35">
      <c r="A395" s="3"/>
      <c r="B395" s="3"/>
      <c r="C395" s="3"/>
      <c r="D395" s="3"/>
      <c r="E395" s="3"/>
      <c r="F395" s="3"/>
      <c r="G395" s="3"/>
      <c r="H395" s="3"/>
      <c r="I395" s="3"/>
      <c r="J395" s="3"/>
      <c r="K395" s="3"/>
      <c r="L395" s="3"/>
      <c r="M395" s="3"/>
      <c r="N395" s="3"/>
      <c r="O395" s="3"/>
      <c r="P395" s="3"/>
      <c r="Q395" s="3"/>
      <c r="R395" s="3"/>
      <c r="S395" s="3"/>
      <c r="T395" s="3"/>
      <c r="U395" s="3"/>
      <c r="V395" s="3"/>
      <c r="W395" s="3"/>
    </row>
    <row r="396" spans="1:23" x14ac:dyDescent="0.35">
      <c r="A396" s="3"/>
      <c r="B396" s="3"/>
      <c r="C396" s="3"/>
      <c r="D396" s="3"/>
      <c r="E396" s="3"/>
      <c r="F396" s="3"/>
      <c r="G396" s="3"/>
      <c r="H396" s="3"/>
      <c r="I396" s="3"/>
      <c r="J396" s="3"/>
      <c r="K396" s="3"/>
      <c r="L396" s="3"/>
      <c r="M396" s="3"/>
      <c r="N396" s="3"/>
      <c r="O396" s="3"/>
      <c r="P396" s="3"/>
      <c r="Q396" s="3"/>
      <c r="R396" s="3"/>
      <c r="S396" s="3"/>
      <c r="T396" s="3"/>
      <c r="U396" s="3"/>
      <c r="V396" s="3"/>
      <c r="W396" s="3"/>
    </row>
    <row r="397" spans="1:23" x14ac:dyDescent="0.35">
      <c r="A397" s="3"/>
      <c r="B397" s="3"/>
      <c r="C397" s="3"/>
      <c r="D397" s="3"/>
      <c r="E397" s="3"/>
      <c r="F397" s="3"/>
      <c r="G397" s="3"/>
      <c r="H397" s="3"/>
      <c r="I397" s="3"/>
      <c r="J397" s="3"/>
      <c r="K397" s="3"/>
      <c r="L397" s="3"/>
      <c r="M397" s="3"/>
      <c r="N397" s="3"/>
      <c r="O397" s="3"/>
      <c r="P397" s="3"/>
      <c r="Q397" s="3"/>
      <c r="R397" s="3"/>
      <c r="S397" s="3"/>
      <c r="T397" s="3"/>
      <c r="U397" s="3"/>
      <c r="V397" s="3"/>
      <c r="W397" s="3"/>
    </row>
    <row r="398" spans="1:23" x14ac:dyDescent="0.35">
      <c r="A398" s="3"/>
      <c r="B398" s="3"/>
      <c r="C398" s="3"/>
      <c r="D398" s="3"/>
      <c r="E398" s="3"/>
      <c r="F398" s="3"/>
      <c r="G398" s="3"/>
      <c r="H398" s="3"/>
      <c r="I398" s="3"/>
      <c r="J398" s="3"/>
      <c r="K398" s="3"/>
      <c r="L398" s="3"/>
      <c r="M398" s="3"/>
      <c r="N398" s="3"/>
      <c r="O398" s="3"/>
      <c r="P398" s="3"/>
      <c r="Q398" s="3"/>
      <c r="R398" s="3"/>
      <c r="S398" s="3"/>
      <c r="T398" s="3"/>
      <c r="U398" s="3"/>
      <c r="V398" s="3"/>
      <c r="W398" s="3"/>
    </row>
    <row r="399" spans="1:23" x14ac:dyDescent="0.35">
      <c r="A399" s="3"/>
      <c r="B399" s="3"/>
      <c r="C399" s="3"/>
      <c r="D399" s="3"/>
      <c r="E399" s="3"/>
      <c r="F399" s="3"/>
      <c r="G399" s="3"/>
      <c r="H399" s="3"/>
      <c r="I399" s="3"/>
      <c r="J399" s="3"/>
      <c r="K399" s="3"/>
      <c r="L399" s="3"/>
      <c r="M399" s="3"/>
      <c r="N399" s="3"/>
      <c r="O399" s="3"/>
      <c r="P399" s="3"/>
      <c r="Q399" s="3"/>
      <c r="R399" s="3"/>
      <c r="S399" s="3"/>
      <c r="T399" s="3"/>
      <c r="U399" s="3"/>
      <c r="V399" s="3"/>
      <c r="W399" s="3"/>
    </row>
    <row r="400" spans="1:23" x14ac:dyDescent="0.35">
      <c r="A400" s="3"/>
      <c r="B400" s="3"/>
      <c r="C400" s="3"/>
      <c r="D400" s="3"/>
      <c r="E400" s="3"/>
      <c r="F400" s="3"/>
      <c r="G400" s="3"/>
      <c r="H400" s="3"/>
      <c r="I400" s="3"/>
      <c r="J400" s="3"/>
      <c r="K400" s="3"/>
      <c r="L400" s="3"/>
      <c r="M400" s="3"/>
      <c r="N400" s="3"/>
      <c r="O400" s="3"/>
      <c r="P400" s="3"/>
      <c r="Q400" s="3"/>
      <c r="R400" s="3"/>
      <c r="S400" s="3"/>
      <c r="T400" s="3"/>
      <c r="U400" s="3"/>
      <c r="V400" s="3"/>
      <c r="W400" s="3"/>
    </row>
    <row r="401" spans="1:23" x14ac:dyDescent="0.35">
      <c r="A401" s="3"/>
      <c r="B401" s="3"/>
      <c r="C401" s="3"/>
      <c r="D401" s="3"/>
      <c r="E401" s="3"/>
      <c r="F401" s="3"/>
      <c r="G401" s="3"/>
      <c r="H401" s="3"/>
      <c r="I401" s="3"/>
      <c r="J401" s="3"/>
      <c r="K401" s="3"/>
      <c r="L401" s="3"/>
      <c r="M401" s="3"/>
      <c r="N401" s="3"/>
      <c r="O401" s="3"/>
      <c r="P401" s="3"/>
      <c r="Q401" s="3"/>
      <c r="R401" s="3"/>
      <c r="S401" s="3"/>
      <c r="T401" s="3"/>
      <c r="U401" s="3"/>
      <c r="V401" s="3"/>
      <c r="W401" s="3"/>
    </row>
    <row r="402" spans="1:23" x14ac:dyDescent="0.35">
      <c r="A402" s="3"/>
      <c r="B402" s="3"/>
      <c r="C402" s="3"/>
      <c r="D402" s="3"/>
      <c r="E402" s="3"/>
      <c r="F402" s="3"/>
      <c r="G402" s="3"/>
      <c r="H402" s="3"/>
      <c r="I402" s="3"/>
      <c r="J402" s="3"/>
      <c r="K402" s="3"/>
      <c r="L402" s="3"/>
      <c r="M402" s="3"/>
      <c r="N402" s="3"/>
      <c r="O402" s="3"/>
      <c r="P402" s="3"/>
      <c r="Q402" s="3"/>
      <c r="R402" s="3"/>
      <c r="S402" s="3"/>
      <c r="T402" s="3"/>
      <c r="U402" s="3"/>
      <c r="V402" s="3"/>
      <c r="W402" s="3"/>
    </row>
    <row r="403" spans="1:23" x14ac:dyDescent="0.35">
      <c r="A403" s="3"/>
      <c r="B403" s="3"/>
      <c r="C403" s="3"/>
      <c r="D403" s="3"/>
      <c r="E403" s="3"/>
      <c r="F403" s="3"/>
      <c r="G403" s="3"/>
      <c r="H403" s="3"/>
      <c r="I403" s="3"/>
      <c r="J403" s="3"/>
      <c r="K403" s="3"/>
      <c r="L403" s="3"/>
      <c r="M403" s="3"/>
      <c r="N403" s="3"/>
      <c r="O403" s="3"/>
      <c r="P403" s="3"/>
      <c r="Q403" s="3"/>
      <c r="R403" s="3"/>
      <c r="S403" s="3"/>
      <c r="T403" s="3"/>
      <c r="U403" s="3"/>
      <c r="V403" s="3"/>
      <c r="W403" s="3"/>
    </row>
    <row r="404" spans="1:23" x14ac:dyDescent="0.35">
      <c r="A404" s="3"/>
      <c r="B404" s="3"/>
      <c r="C404" s="3"/>
      <c r="D404" s="3"/>
      <c r="E404" s="3"/>
      <c r="F404" s="3"/>
      <c r="G404" s="3"/>
      <c r="H404" s="3"/>
      <c r="I404" s="3"/>
      <c r="J404" s="3"/>
      <c r="K404" s="3"/>
      <c r="L404" s="3"/>
      <c r="M404" s="3"/>
      <c r="N404" s="3"/>
      <c r="O404" s="3"/>
      <c r="P404" s="3"/>
      <c r="Q404" s="3"/>
      <c r="R404" s="3"/>
      <c r="S404" s="3"/>
      <c r="T404" s="3"/>
      <c r="U404" s="3"/>
      <c r="V404" s="3"/>
      <c r="W404" s="3"/>
    </row>
    <row r="405" spans="1:23" x14ac:dyDescent="0.35">
      <c r="A405" s="3"/>
      <c r="B405" s="3"/>
      <c r="C405" s="3"/>
      <c r="D405" s="3"/>
      <c r="E405" s="3"/>
      <c r="F405" s="3"/>
      <c r="G405" s="3"/>
      <c r="H405" s="3"/>
      <c r="I405" s="3"/>
      <c r="J405" s="3"/>
      <c r="K405" s="3"/>
      <c r="L405" s="3"/>
      <c r="M405" s="3"/>
      <c r="N405" s="3"/>
      <c r="O405" s="3"/>
      <c r="P405" s="3"/>
      <c r="Q405" s="3"/>
      <c r="R405" s="3"/>
      <c r="S405" s="3"/>
      <c r="T405" s="3"/>
      <c r="U405" s="3"/>
      <c r="V405" s="3"/>
      <c r="W405" s="3"/>
    </row>
    <row r="406" spans="1:23" x14ac:dyDescent="0.35">
      <c r="A406" s="3"/>
      <c r="B406" s="3"/>
      <c r="C406" s="3"/>
      <c r="D406" s="3"/>
      <c r="E406" s="3"/>
      <c r="F406" s="3"/>
      <c r="G406" s="3"/>
      <c r="H406" s="3"/>
      <c r="I406" s="3"/>
      <c r="J406" s="3"/>
      <c r="K406" s="3"/>
      <c r="L406" s="3"/>
      <c r="M406" s="3"/>
      <c r="N406" s="3"/>
      <c r="O406" s="3"/>
      <c r="P406" s="3"/>
      <c r="Q406" s="3"/>
      <c r="R406" s="3"/>
      <c r="S406" s="3"/>
      <c r="T406" s="3"/>
      <c r="U406" s="3"/>
      <c r="V406" s="3"/>
      <c r="W406" s="3"/>
    </row>
    <row r="407" spans="1:23" x14ac:dyDescent="0.35">
      <c r="A407" s="3"/>
      <c r="B407" s="3"/>
      <c r="C407" s="3"/>
      <c r="D407" s="3"/>
      <c r="E407" s="3"/>
      <c r="F407" s="3"/>
      <c r="G407" s="3"/>
      <c r="H407" s="3"/>
      <c r="I407" s="3"/>
      <c r="J407" s="3"/>
      <c r="K407" s="3"/>
      <c r="L407" s="3"/>
      <c r="M407" s="3"/>
      <c r="N407" s="3"/>
      <c r="O407" s="3"/>
      <c r="P407" s="3"/>
      <c r="Q407" s="3"/>
      <c r="R407" s="3"/>
      <c r="S407" s="3"/>
      <c r="T407" s="3"/>
      <c r="U407" s="3"/>
      <c r="V407" s="3"/>
      <c r="W407" s="3"/>
    </row>
    <row r="408" spans="1:23" x14ac:dyDescent="0.35">
      <c r="A408" s="3"/>
      <c r="B408" s="3"/>
      <c r="C408" s="3"/>
      <c r="D408" s="3"/>
      <c r="E408" s="3"/>
      <c r="F408" s="3"/>
      <c r="G408" s="3"/>
      <c r="H408" s="3"/>
      <c r="I408" s="3"/>
      <c r="J408" s="3"/>
      <c r="K408" s="3"/>
      <c r="L408" s="3"/>
      <c r="M408" s="3"/>
      <c r="N408" s="3"/>
      <c r="O408" s="3"/>
      <c r="P408" s="3"/>
      <c r="Q408" s="3"/>
      <c r="R408" s="3"/>
      <c r="S408" s="3"/>
      <c r="T408" s="3"/>
      <c r="U408" s="3"/>
      <c r="V408" s="3"/>
      <c r="W408" s="3"/>
    </row>
    <row r="409" spans="1:23" x14ac:dyDescent="0.35">
      <c r="A409" s="3"/>
      <c r="B409" s="3"/>
      <c r="C409" s="3"/>
      <c r="D409" s="3"/>
      <c r="E409" s="3"/>
      <c r="F409" s="3"/>
      <c r="G409" s="3"/>
      <c r="H409" s="3"/>
      <c r="I409" s="3"/>
      <c r="J409" s="3"/>
      <c r="K409" s="3"/>
      <c r="L409" s="3"/>
      <c r="M409" s="3"/>
      <c r="N409" s="3"/>
      <c r="O409" s="3"/>
      <c r="P409" s="3"/>
      <c r="Q409" s="3"/>
      <c r="R409" s="3"/>
      <c r="S409" s="3"/>
      <c r="T409" s="3"/>
      <c r="U409" s="3"/>
      <c r="V409" s="3"/>
      <c r="W409" s="3"/>
    </row>
    <row r="410" spans="1:23" x14ac:dyDescent="0.35">
      <c r="A410" s="3"/>
      <c r="B410" s="3"/>
      <c r="C410" s="3"/>
      <c r="D410" s="3"/>
      <c r="E410" s="3"/>
      <c r="F410" s="3"/>
      <c r="G410" s="3"/>
      <c r="H410" s="3"/>
      <c r="I410" s="3"/>
      <c r="J410" s="3"/>
      <c r="K410" s="3"/>
      <c r="L410" s="3"/>
      <c r="M410" s="3"/>
      <c r="N410" s="3"/>
      <c r="O410" s="3"/>
      <c r="P410" s="3"/>
      <c r="Q410" s="3"/>
      <c r="R410" s="3"/>
      <c r="S410" s="3"/>
      <c r="T410" s="3"/>
      <c r="U410" s="3"/>
      <c r="V410" s="3"/>
      <c r="W410" s="3"/>
    </row>
    <row r="411" spans="1:23" x14ac:dyDescent="0.35">
      <c r="A411" s="3"/>
      <c r="B411" s="3"/>
      <c r="C411" s="3"/>
      <c r="D411" s="3"/>
      <c r="E411" s="3"/>
      <c r="F411" s="3"/>
      <c r="G411" s="3"/>
      <c r="H411" s="3"/>
      <c r="I411" s="3"/>
      <c r="J411" s="3"/>
      <c r="K411" s="3"/>
      <c r="L411" s="3"/>
      <c r="M411" s="3"/>
      <c r="N411" s="3"/>
      <c r="O411" s="3"/>
      <c r="P411" s="3"/>
      <c r="Q411" s="3"/>
      <c r="R411" s="3"/>
      <c r="S411" s="3"/>
      <c r="T411" s="3"/>
      <c r="U411" s="3"/>
      <c r="V411" s="3"/>
      <c r="W411" s="3"/>
    </row>
    <row r="412" spans="1:23" x14ac:dyDescent="0.35">
      <c r="A412" s="3"/>
      <c r="B412" s="3"/>
      <c r="C412" s="3"/>
      <c r="D412" s="3"/>
      <c r="E412" s="3"/>
      <c r="F412" s="3"/>
      <c r="G412" s="3"/>
      <c r="H412" s="3"/>
      <c r="I412" s="3"/>
      <c r="J412" s="3"/>
      <c r="K412" s="3"/>
      <c r="L412" s="3"/>
      <c r="M412" s="3"/>
      <c r="N412" s="3"/>
      <c r="O412" s="3"/>
      <c r="P412" s="3"/>
      <c r="Q412" s="3"/>
      <c r="R412" s="3"/>
      <c r="S412" s="3"/>
      <c r="T412" s="3"/>
      <c r="U412" s="3"/>
      <c r="V412" s="3"/>
      <c r="W412" s="3"/>
    </row>
    <row r="413" spans="1:23" x14ac:dyDescent="0.35">
      <c r="A413" s="3"/>
      <c r="B413" s="3"/>
      <c r="C413" s="3"/>
      <c r="D413" s="3"/>
      <c r="E413" s="3"/>
      <c r="F413" s="3"/>
      <c r="G413" s="3"/>
      <c r="H413" s="3"/>
      <c r="I413" s="3"/>
      <c r="J413" s="3"/>
      <c r="K413" s="3"/>
      <c r="L413" s="3"/>
      <c r="M413" s="3"/>
      <c r="N413" s="3"/>
      <c r="O413" s="3"/>
      <c r="P413" s="3"/>
      <c r="Q413" s="3"/>
      <c r="R413" s="3"/>
      <c r="S413" s="3"/>
      <c r="T413" s="3"/>
      <c r="U413" s="3"/>
      <c r="V413" s="3"/>
      <c r="W413" s="3"/>
    </row>
    <row r="414" spans="1:23" x14ac:dyDescent="0.35">
      <c r="A414" s="3"/>
      <c r="B414" s="3"/>
      <c r="C414" s="3"/>
      <c r="D414" s="3"/>
      <c r="E414" s="3"/>
      <c r="F414" s="3"/>
      <c r="G414" s="3"/>
      <c r="H414" s="3"/>
      <c r="I414" s="3"/>
      <c r="J414" s="3"/>
      <c r="K414" s="3"/>
      <c r="L414" s="3"/>
      <c r="M414" s="3"/>
      <c r="N414" s="3"/>
      <c r="O414" s="3"/>
      <c r="P414" s="3"/>
      <c r="Q414" s="3"/>
      <c r="R414" s="3"/>
      <c r="S414" s="3"/>
      <c r="T414" s="3"/>
      <c r="U414" s="3"/>
      <c r="V414" s="3"/>
      <c r="W414" s="3"/>
    </row>
    <row r="415" spans="1:23" x14ac:dyDescent="0.35">
      <c r="A415" s="3"/>
      <c r="B415" s="3"/>
      <c r="C415" s="3"/>
      <c r="D415" s="3"/>
      <c r="E415" s="3"/>
      <c r="F415" s="3"/>
      <c r="G415" s="3"/>
      <c r="H415" s="3"/>
      <c r="I415" s="3"/>
      <c r="J415" s="3"/>
      <c r="K415" s="3"/>
      <c r="L415" s="3"/>
      <c r="M415" s="3"/>
      <c r="N415" s="3"/>
      <c r="O415" s="3"/>
      <c r="P415" s="3"/>
      <c r="Q415" s="3"/>
      <c r="R415" s="3"/>
      <c r="S415" s="3"/>
      <c r="T415" s="3"/>
      <c r="U415" s="3"/>
      <c r="V415" s="3"/>
      <c r="W415" s="3"/>
    </row>
    <row r="416" spans="1:23" x14ac:dyDescent="0.35">
      <c r="A416" s="3"/>
      <c r="B416" s="3"/>
      <c r="C416" s="3"/>
      <c r="D416" s="3"/>
      <c r="E416" s="3"/>
      <c r="F416" s="3"/>
      <c r="G416" s="3"/>
      <c r="H416" s="3"/>
      <c r="I416" s="3"/>
      <c r="J416" s="3"/>
      <c r="K416" s="3"/>
      <c r="L416" s="3"/>
      <c r="M416" s="3"/>
      <c r="N416" s="3"/>
      <c r="O416" s="3"/>
      <c r="P416" s="3"/>
      <c r="Q416" s="3"/>
      <c r="R416" s="3"/>
      <c r="S416" s="3"/>
      <c r="T416" s="3"/>
      <c r="U416" s="3"/>
      <c r="V416" s="3"/>
      <c r="W416" s="3"/>
    </row>
    <row r="417" spans="1:23" x14ac:dyDescent="0.35">
      <c r="A417" s="3"/>
      <c r="B417" s="3"/>
      <c r="C417" s="3"/>
      <c r="D417" s="3"/>
      <c r="E417" s="3"/>
      <c r="F417" s="3"/>
      <c r="G417" s="3"/>
      <c r="H417" s="3"/>
      <c r="I417" s="3"/>
      <c r="J417" s="3"/>
      <c r="K417" s="3"/>
      <c r="L417" s="3"/>
      <c r="M417" s="3"/>
      <c r="N417" s="3"/>
      <c r="O417" s="3"/>
      <c r="P417" s="3"/>
      <c r="Q417" s="3"/>
      <c r="R417" s="3"/>
      <c r="S417" s="3"/>
      <c r="T417" s="3"/>
      <c r="U417" s="3"/>
      <c r="V417" s="3"/>
      <c r="W417" s="3"/>
    </row>
    <row r="418" spans="1:23" x14ac:dyDescent="0.35">
      <c r="A418" s="3"/>
      <c r="B418" s="3"/>
      <c r="C418" s="3"/>
      <c r="D418" s="3"/>
      <c r="E418" s="3"/>
      <c r="F418" s="3"/>
      <c r="G418" s="3"/>
      <c r="H418" s="3"/>
      <c r="I418" s="3"/>
      <c r="J418" s="3"/>
      <c r="K418" s="3"/>
      <c r="L418" s="3"/>
      <c r="M418" s="3"/>
      <c r="N418" s="3"/>
      <c r="O418" s="3"/>
      <c r="P418" s="3"/>
      <c r="Q418" s="3"/>
      <c r="R418" s="3"/>
      <c r="S418" s="3"/>
      <c r="T418" s="3"/>
      <c r="U418" s="3"/>
      <c r="V418" s="3"/>
      <c r="W418" s="3"/>
    </row>
    <row r="419" spans="1:23" x14ac:dyDescent="0.35">
      <c r="A419" s="3"/>
      <c r="B419" s="3"/>
      <c r="C419" s="3"/>
      <c r="D419" s="3"/>
      <c r="E419" s="3"/>
      <c r="F419" s="3"/>
      <c r="G419" s="3"/>
      <c r="H419" s="3"/>
      <c r="I419" s="3"/>
      <c r="J419" s="3"/>
      <c r="K419" s="3"/>
      <c r="L419" s="3"/>
      <c r="M419" s="3"/>
      <c r="N419" s="3"/>
      <c r="O419" s="3"/>
      <c r="P419" s="3"/>
      <c r="Q419" s="3"/>
      <c r="R419" s="3"/>
      <c r="S419" s="3"/>
      <c r="T419" s="3"/>
      <c r="U419" s="3"/>
      <c r="V419" s="3"/>
      <c r="W419" s="3"/>
    </row>
    <row r="420" spans="1:23" x14ac:dyDescent="0.35">
      <c r="A420" s="3"/>
      <c r="B420" s="3"/>
      <c r="C420" s="3"/>
      <c r="D420" s="3"/>
      <c r="E420" s="3"/>
      <c r="F420" s="3"/>
      <c r="G420" s="3"/>
      <c r="H420" s="3"/>
      <c r="I420" s="3"/>
      <c r="J420" s="3"/>
      <c r="K420" s="3"/>
      <c r="L420" s="3"/>
      <c r="M420" s="3"/>
      <c r="N420" s="3"/>
      <c r="O420" s="3"/>
      <c r="P420" s="3"/>
      <c r="Q420" s="3"/>
      <c r="R420" s="3"/>
      <c r="S420" s="3"/>
      <c r="T420" s="3"/>
      <c r="U420" s="3"/>
      <c r="V420" s="3"/>
      <c r="W420" s="3"/>
    </row>
    <row r="421" spans="1:23" x14ac:dyDescent="0.35">
      <c r="A421" s="3"/>
      <c r="B421" s="3"/>
      <c r="C421" s="3"/>
      <c r="D421" s="3"/>
      <c r="E421" s="3"/>
      <c r="F421" s="3"/>
      <c r="G421" s="3"/>
      <c r="H421" s="3"/>
      <c r="I421" s="3"/>
      <c r="J421" s="3"/>
      <c r="K421" s="3"/>
      <c r="L421" s="3"/>
      <c r="M421" s="3"/>
      <c r="N421" s="3"/>
      <c r="O421" s="3"/>
      <c r="P421" s="3"/>
      <c r="Q421" s="3"/>
      <c r="R421" s="3"/>
      <c r="S421" s="3"/>
      <c r="T421" s="3"/>
      <c r="U421" s="3"/>
      <c r="V421" s="3"/>
      <c r="W421" s="3"/>
    </row>
    <row r="422" spans="1:23" x14ac:dyDescent="0.35">
      <c r="A422" s="3"/>
      <c r="B422" s="3"/>
      <c r="C422" s="3"/>
      <c r="D422" s="3"/>
      <c r="E422" s="3"/>
      <c r="F422" s="3"/>
      <c r="G422" s="3"/>
      <c r="H422" s="3"/>
      <c r="I422" s="3"/>
      <c r="J422" s="3"/>
      <c r="K422" s="3"/>
      <c r="L422" s="3"/>
      <c r="M422" s="3"/>
      <c r="N422" s="3"/>
      <c r="O422" s="3"/>
      <c r="P422" s="3"/>
      <c r="Q422" s="3"/>
      <c r="R422" s="3"/>
      <c r="S422" s="3"/>
      <c r="T422" s="3"/>
      <c r="U422" s="3"/>
      <c r="V422" s="3"/>
      <c r="W422" s="3"/>
    </row>
    <row r="423" spans="1:23" x14ac:dyDescent="0.35">
      <c r="A423" s="3"/>
      <c r="B423" s="3"/>
      <c r="C423" s="3"/>
      <c r="D423" s="3"/>
      <c r="E423" s="3"/>
      <c r="F423" s="3"/>
      <c r="G423" s="3"/>
      <c r="H423" s="3"/>
      <c r="I423" s="3"/>
      <c r="J423" s="3"/>
      <c r="K423" s="3"/>
      <c r="L423" s="3"/>
      <c r="M423" s="3"/>
      <c r="N423" s="3"/>
      <c r="O423" s="3"/>
      <c r="P423" s="3"/>
      <c r="Q423" s="3"/>
      <c r="R423" s="3"/>
      <c r="S423" s="3"/>
      <c r="T423" s="3"/>
      <c r="U423" s="3"/>
      <c r="V423" s="3"/>
      <c r="W423" s="3"/>
    </row>
    <row r="424" spans="1:23" x14ac:dyDescent="0.35">
      <c r="A424" s="3"/>
      <c r="B424" s="3"/>
      <c r="C424" s="3"/>
      <c r="D424" s="3"/>
      <c r="E424" s="3"/>
      <c r="F424" s="3"/>
      <c r="G424" s="3"/>
      <c r="H424" s="3"/>
      <c r="I424" s="3"/>
      <c r="J424" s="3"/>
      <c r="K424" s="3"/>
      <c r="L424" s="3"/>
      <c r="M424" s="3"/>
      <c r="N424" s="3"/>
      <c r="O424" s="3"/>
      <c r="P424" s="3"/>
      <c r="Q424" s="3"/>
      <c r="R424" s="3"/>
      <c r="S424" s="3"/>
      <c r="T424" s="3"/>
      <c r="U424" s="3"/>
      <c r="V424" s="3"/>
      <c r="W424" s="3"/>
    </row>
    <row r="425" spans="1:23" x14ac:dyDescent="0.35">
      <c r="A425" s="3"/>
      <c r="B425" s="3"/>
      <c r="C425" s="3"/>
      <c r="D425" s="3"/>
      <c r="E425" s="3"/>
      <c r="F425" s="3"/>
      <c r="G425" s="3"/>
      <c r="H425" s="3"/>
      <c r="I425" s="3"/>
      <c r="J425" s="3"/>
      <c r="K425" s="3"/>
      <c r="L425" s="3"/>
      <c r="M425" s="3"/>
      <c r="N425" s="3"/>
      <c r="O425" s="3"/>
      <c r="P425" s="3"/>
      <c r="Q425" s="3"/>
      <c r="R425" s="3"/>
      <c r="S425" s="3"/>
      <c r="T425" s="3"/>
      <c r="U425" s="3"/>
      <c r="V425" s="3"/>
      <c r="W425" s="3"/>
    </row>
    <row r="426" spans="1:23" x14ac:dyDescent="0.35">
      <c r="A426" s="3"/>
      <c r="B426" s="3"/>
      <c r="C426" s="3"/>
      <c r="D426" s="3"/>
      <c r="E426" s="3"/>
      <c r="F426" s="3"/>
      <c r="G426" s="3"/>
      <c r="H426" s="3"/>
      <c r="I426" s="3"/>
      <c r="J426" s="3"/>
      <c r="K426" s="3"/>
      <c r="L426" s="3"/>
      <c r="M426" s="3"/>
      <c r="N426" s="3"/>
      <c r="O426" s="3"/>
      <c r="P426" s="3"/>
      <c r="Q426" s="3"/>
      <c r="R426" s="3"/>
      <c r="S426" s="3"/>
      <c r="T426" s="3"/>
      <c r="U426" s="3"/>
      <c r="V426" s="3"/>
      <c r="W426" s="3"/>
    </row>
    <row r="427" spans="1:23" x14ac:dyDescent="0.35">
      <c r="A427" s="3"/>
      <c r="B427" s="3"/>
      <c r="C427" s="3"/>
      <c r="D427" s="3"/>
      <c r="E427" s="3"/>
      <c r="F427" s="3"/>
      <c r="G427" s="3"/>
      <c r="H427" s="3"/>
      <c r="I427" s="3"/>
      <c r="J427" s="3"/>
      <c r="K427" s="3"/>
      <c r="L427" s="3"/>
      <c r="M427" s="3"/>
      <c r="N427" s="3"/>
      <c r="O427" s="3"/>
      <c r="P427" s="3"/>
      <c r="Q427" s="3"/>
      <c r="R427" s="3"/>
      <c r="S427" s="3"/>
      <c r="T427" s="3"/>
      <c r="U427" s="3"/>
      <c r="V427" s="3"/>
      <c r="W427" s="3"/>
    </row>
    <row r="428" spans="1:23" x14ac:dyDescent="0.35">
      <c r="A428" s="3"/>
      <c r="B428" s="3"/>
      <c r="C428" s="3"/>
      <c r="D428" s="3"/>
      <c r="E428" s="3"/>
      <c r="F428" s="3"/>
      <c r="G428" s="3"/>
      <c r="H428" s="3"/>
      <c r="I428" s="3"/>
      <c r="J428" s="3"/>
      <c r="K428" s="3"/>
      <c r="L428" s="3"/>
      <c r="M428" s="3"/>
      <c r="N428" s="3"/>
      <c r="O428" s="3"/>
      <c r="P428" s="3"/>
      <c r="Q428" s="3"/>
      <c r="R428" s="3"/>
      <c r="S428" s="3"/>
      <c r="T428" s="3"/>
      <c r="U428" s="3"/>
      <c r="V428" s="3"/>
      <c r="W428" s="3"/>
    </row>
    <row r="429" spans="1:23" x14ac:dyDescent="0.35">
      <c r="A429" s="3"/>
      <c r="B429" s="3"/>
      <c r="C429" s="3"/>
      <c r="D429" s="3"/>
      <c r="E429" s="3"/>
      <c r="F429" s="3"/>
      <c r="G429" s="3"/>
      <c r="H429" s="3"/>
      <c r="I429" s="3"/>
      <c r="J429" s="3"/>
      <c r="K429" s="3"/>
      <c r="L429" s="3"/>
      <c r="M429" s="3"/>
      <c r="N429" s="3"/>
      <c r="O429" s="3"/>
      <c r="P429" s="3"/>
      <c r="Q429" s="3"/>
      <c r="R429" s="3"/>
      <c r="S429" s="3"/>
      <c r="T429" s="3"/>
      <c r="U429" s="3"/>
      <c r="V429" s="3"/>
      <c r="W429" s="3"/>
    </row>
    <row r="430" spans="1:23" x14ac:dyDescent="0.35">
      <c r="A430" s="3"/>
      <c r="B430" s="3"/>
      <c r="C430" s="3"/>
      <c r="D430" s="3"/>
      <c r="E430" s="3"/>
      <c r="F430" s="3"/>
      <c r="G430" s="3"/>
      <c r="H430" s="3"/>
      <c r="I430" s="3"/>
      <c r="J430" s="3"/>
      <c r="K430" s="3"/>
      <c r="L430" s="3"/>
      <c r="M430" s="3"/>
      <c r="N430" s="3"/>
      <c r="O430" s="3"/>
      <c r="P430" s="3"/>
      <c r="Q430" s="3"/>
      <c r="R430" s="3"/>
      <c r="S430" s="3"/>
      <c r="T430" s="3"/>
      <c r="U430" s="3"/>
      <c r="V430" s="3"/>
      <c r="W430" s="3"/>
    </row>
    <row r="431" spans="1:23" x14ac:dyDescent="0.35">
      <c r="A431" s="3"/>
      <c r="B431" s="3"/>
      <c r="C431" s="3"/>
      <c r="D431" s="3"/>
      <c r="E431" s="3"/>
      <c r="F431" s="3"/>
      <c r="G431" s="3"/>
      <c r="H431" s="3"/>
      <c r="I431" s="3"/>
      <c r="J431" s="3"/>
      <c r="K431" s="3"/>
      <c r="L431" s="3"/>
      <c r="M431" s="3"/>
      <c r="N431" s="3"/>
      <c r="O431" s="3"/>
      <c r="P431" s="3"/>
      <c r="Q431" s="3"/>
      <c r="R431" s="3"/>
      <c r="S431" s="3"/>
      <c r="T431" s="3"/>
      <c r="U431" s="3"/>
      <c r="V431" s="3"/>
      <c r="W431" s="3"/>
    </row>
    <row r="432" spans="1:23" x14ac:dyDescent="0.35">
      <c r="A432" s="3"/>
      <c r="B432" s="3"/>
      <c r="C432" s="3"/>
      <c r="D432" s="3"/>
      <c r="E432" s="3"/>
      <c r="F432" s="3"/>
      <c r="G432" s="3"/>
      <c r="H432" s="3"/>
      <c r="I432" s="3"/>
      <c r="J432" s="3"/>
      <c r="K432" s="3"/>
      <c r="L432" s="3"/>
      <c r="M432" s="3"/>
      <c r="N432" s="3"/>
      <c r="O432" s="3"/>
      <c r="P432" s="3"/>
      <c r="Q432" s="3"/>
      <c r="R432" s="3"/>
      <c r="S432" s="3"/>
      <c r="T432" s="3"/>
      <c r="U432" s="3"/>
      <c r="V432" s="3"/>
      <c r="W432" s="3"/>
    </row>
    <row r="433" spans="1:23" x14ac:dyDescent="0.35">
      <c r="A433" s="3"/>
      <c r="B433" s="3"/>
      <c r="C433" s="3"/>
      <c r="D433" s="3"/>
      <c r="E433" s="3"/>
      <c r="F433" s="3"/>
      <c r="G433" s="3"/>
      <c r="H433" s="3"/>
      <c r="I433" s="3"/>
      <c r="J433" s="3"/>
      <c r="K433" s="3"/>
      <c r="L433" s="3"/>
      <c r="M433" s="3"/>
      <c r="N433" s="3"/>
      <c r="O433" s="3"/>
      <c r="P433" s="3"/>
      <c r="Q433" s="3"/>
      <c r="R433" s="3"/>
      <c r="S433" s="3"/>
      <c r="T433" s="3"/>
      <c r="U433" s="3"/>
      <c r="V433" s="3"/>
      <c r="W433" s="3"/>
    </row>
    <row r="434" spans="1:23" x14ac:dyDescent="0.35">
      <c r="A434" s="3"/>
      <c r="B434" s="3"/>
      <c r="C434" s="3"/>
      <c r="D434" s="3"/>
      <c r="E434" s="3"/>
      <c r="F434" s="3"/>
      <c r="G434" s="3"/>
      <c r="H434" s="3"/>
      <c r="I434" s="3"/>
      <c r="J434" s="3"/>
      <c r="K434" s="3"/>
      <c r="L434" s="3"/>
      <c r="M434" s="3"/>
      <c r="N434" s="3"/>
      <c r="O434" s="3"/>
      <c r="P434" s="3"/>
      <c r="Q434" s="3"/>
      <c r="R434" s="3"/>
      <c r="S434" s="3"/>
      <c r="T434" s="3"/>
      <c r="U434" s="3"/>
      <c r="V434" s="3"/>
      <c r="W434" s="3"/>
    </row>
    <row r="435" spans="1:23" x14ac:dyDescent="0.35">
      <c r="A435" s="3"/>
      <c r="B435" s="3"/>
      <c r="C435" s="3"/>
      <c r="D435" s="3"/>
      <c r="E435" s="3"/>
      <c r="F435" s="3"/>
      <c r="G435" s="3"/>
      <c r="H435" s="3"/>
      <c r="I435" s="3"/>
      <c r="J435" s="3"/>
      <c r="K435" s="3"/>
      <c r="L435" s="3"/>
      <c r="M435" s="3"/>
      <c r="N435" s="3"/>
      <c r="O435" s="3"/>
      <c r="P435" s="3"/>
      <c r="Q435" s="3"/>
      <c r="R435" s="3"/>
      <c r="S435" s="3"/>
      <c r="T435" s="3"/>
      <c r="U435" s="3"/>
      <c r="V435" s="3"/>
      <c r="W435" s="3"/>
    </row>
    <row r="436" spans="1:23" x14ac:dyDescent="0.35">
      <c r="A436" s="3"/>
      <c r="B436" s="3"/>
      <c r="C436" s="3"/>
      <c r="D436" s="3"/>
      <c r="E436" s="3"/>
      <c r="F436" s="3"/>
      <c r="G436" s="3"/>
      <c r="H436" s="3"/>
      <c r="I436" s="3"/>
      <c r="J436" s="3"/>
      <c r="K436" s="3"/>
      <c r="L436" s="3"/>
      <c r="M436" s="3"/>
      <c r="N436" s="3"/>
      <c r="O436" s="3"/>
      <c r="P436" s="3"/>
      <c r="Q436" s="3"/>
      <c r="R436" s="3"/>
      <c r="S436" s="3"/>
      <c r="T436" s="3"/>
      <c r="U436" s="3"/>
      <c r="V436" s="3"/>
      <c r="W436" s="3"/>
    </row>
    <row r="437" spans="1:23" x14ac:dyDescent="0.35">
      <c r="A437" s="3"/>
      <c r="B437" s="3"/>
      <c r="C437" s="3"/>
      <c r="D437" s="3"/>
      <c r="E437" s="3"/>
      <c r="F437" s="3"/>
      <c r="G437" s="3"/>
      <c r="H437" s="3"/>
      <c r="I437" s="3"/>
      <c r="J437" s="3"/>
      <c r="K437" s="3"/>
      <c r="L437" s="3"/>
      <c r="M437" s="3"/>
      <c r="N437" s="3"/>
      <c r="O437" s="3"/>
      <c r="P437" s="3"/>
      <c r="Q437" s="3"/>
      <c r="R437" s="3"/>
      <c r="S437" s="3"/>
      <c r="T437" s="3"/>
      <c r="U437" s="3"/>
      <c r="V437" s="3"/>
      <c r="W437" s="3"/>
    </row>
    <row r="438" spans="1:23" x14ac:dyDescent="0.35">
      <c r="A438" s="3"/>
      <c r="B438" s="3"/>
      <c r="C438" s="3"/>
      <c r="D438" s="3"/>
      <c r="E438" s="3"/>
      <c r="F438" s="3"/>
      <c r="G438" s="3"/>
      <c r="H438" s="3"/>
      <c r="I438" s="3"/>
      <c r="J438" s="3"/>
      <c r="K438" s="3"/>
      <c r="L438" s="3"/>
      <c r="M438" s="3"/>
      <c r="N438" s="3"/>
      <c r="O438" s="3"/>
      <c r="P438" s="3"/>
      <c r="Q438" s="3"/>
      <c r="R438" s="3"/>
      <c r="S438" s="3"/>
      <c r="T438" s="3"/>
      <c r="U438" s="3"/>
      <c r="V438" s="3"/>
      <c r="W438" s="3"/>
    </row>
    <row r="439" spans="1:23" x14ac:dyDescent="0.35">
      <c r="A439" s="3"/>
      <c r="B439" s="3"/>
      <c r="C439" s="3"/>
      <c r="D439" s="3"/>
      <c r="E439" s="3"/>
      <c r="F439" s="3"/>
      <c r="G439" s="3"/>
      <c r="H439" s="3"/>
      <c r="I439" s="3"/>
      <c r="J439" s="3"/>
      <c r="K439" s="3"/>
      <c r="L439" s="3"/>
      <c r="M439" s="3"/>
      <c r="N439" s="3"/>
      <c r="O439" s="3"/>
      <c r="P439" s="3"/>
      <c r="Q439" s="3"/>
      <c r="R439" s="3"/>
      <c r="S439" s="3"/>
      <c r="T439" s="3"/>
      <c r="U439" s="3"/>
      <c r="V439" s="3"/>
      <c r="W439" s="3"/>
    </row>
    <row r="440" spans="1:23" x14ac:dyDescent="0.35">
      <c r="A440" s="3"/>
      <c r="B440" s="3"/>
      <c r="C440" s="3"/>
      <c r="D440" s="3"/>
      <c r="E440" s="3"/>
      <c r="F440" s="3"/>
      <c r="G440" s="3"/>
      <c r="H440" s="3"/>
      <c r="I440" s="3"/>
      <c r="J440" s="3"/>
      <c r="K440" s="3"/>
      <c r="L440" s="3"/>
      <c r="M440" s="3"/>
      <c r="N440" s="3"/>
      <c r="O440" s="3"/>
      <c r="P440" s="3"/>
      <c r="Q440" s="3"/>
      <c r="R440" s="3"/>
      <c r="S440" s="3"/>
      <c r="T440" s="3"/>
      <c r="U440" s="3"/>
      <c r="V440" s="3"/>
      <c r="W440" s="3"/>
    </row>
    <row r="441" spans="1:23" x14ac:dyDescent="0.35">
      <c r="A441" s="3"/>
      <c r="B441" s="3"/>
      <c r="C441" s="3"/>
      <c r="D441" s="3"/>
      <c r="E441" s="3"/>
      <c r="F441" s="3"/>
      <c r="G441" s="3"/>
      <c r="H441" s="3"/>
      <c r="I441" s="3"/>
      <c r="J441" s="3"/>
      <c r="K441" s="3"/>
      <c r="L441" s="3"/>
      <c r="M441" s="3"/>
      <c r="N441" s="3"/>
      <c r="O441" s="3"/>
      <c r="P441" s="3"/>
      <c r="Q441" s="3"/>
      <c r="R441" s="3"/>
      <c r="S441" s="3"/>
      <c r="T441" s="3"/>
      <c r="U441" s="3"/>
      <c r="V441" s="3"/>
      <c r="W441" s="3"/>
    </row>
    <row r="442" spans="1:23" x14ac:dyDescent="0.35">
      <c r="A442" s="3"/>
      <c r="B442" s="3"/>
      <c r="C442" s="3"/>
      <c r="D442" s="3"/>
      <c r="E442" s="3"/>
      <c r="F442" s="3"/>
      <c r="G442" s="3"/>
      <c r="H442" s="3"/>
      <c r="I442" s="3"/>
      <c r="J442" s="3"/>
      <c r="K442" s="3"/>
      <c r="L442" s="3"/>
      <c r="M442" s="3"/>
      <c r="N442" s="3"/>
      <c r="O442" s="3"/>
      <c r="P442" s="3"/>
      <c r="Q442" s="3"/>
      <c r="R442" s="3"/>
      <c r="S442" s="3"/>
      <c r="T442" s="3"/>
      <c r="U442" s="3"/>
      <c r="V442" s="3"/>
      <c r="W442" s="3"/>
    </row>
    <row r="443" spans="1:23" x14ac:dyDescent="0.35">
      <c r="A443" s="3"/>
      <c r="B443" s="3"/>
      <c r="C443" s="3"/>
      <c r="D443" s="3"/>
      <c r="E443" s="3"/>
      <c r="F443" s="3"/>
      <c r="G443" s="3"/>
      <c r="H443" s="3"/>
      <c r="I443" s="3"/>
      <c r="J443" s="3"/>
      <c r="K443" s="3"/>
      <c r="L443" s="3"/>
      <c r="M443" s="3"/>
      <c r="N443" s="3"/>
      <c r="O443" s="3"/>
      <c r="P443" s="3"/>
      <c r="Q443" s="3"/>
      <c r="R443" s="3"/>
      <c r="S443" s="3"/>
      <c r="T443" s="3"/>
      <c r="U443" s="3"/>
      <c r="V443" s="3"/>
      <c r="W443" s="3"/>
    </row>
    <row r="444" spans="1:23" x14ac:dyDescent="0.35">
      <c r="A444" s="3"/>
      <c r="B444" s="3"/>
      <c r="C444" s="3"/>
      <c r="D444" s="3"/>
      <c r="E444" s="3"/>
      <c r="F444" s="3"/>
      <c r="G444" s="3"/>
      <c r="H444" s="3"/>
      <c r="I444" s="3"/>
      <c r="J444" s="3"/>
      <c r="K444" s="3"/>
      <c r="L444" s="3"/>
      <c r="M444" s="3"/>
      <c r="N444" s="3"/>
      <c r="O444" s="3"/>
      <c r="P444" s="3"/>
      <c r="Q444" s="3"/>
      <c r="R444" s="3"/>
      <c r="S444" s="3"/>
      <c r="T444" s="3"/>
      <c r="U444" s="3"/>
      <c r="V444" s="3"/>
      <c r="W444" s="3"/>
    </row>
    <row r="445" spans="1:23" x14ac:dyDescent="0.35">
      <c r="A445" s="3"/>
      <c r="B445" s="3"/>
      <c r="C445" s="3"/>
      <c r="D445" s="3"/>
      <c r="E445" s="3"/>
      <c r="F445" s="3"/>
      <c r="G445" s="3"/>
      <c r="H445" s="3"/>
      <c r="I445" s="3"/>
      <c r="J445" s="3"/>
      <c r="K445" s="3"/>
      <c r="L445" s="3"/>
      <c r="M445" s="3"/>
      <c r="N445" s="3"/>
      <c r="O445" s="3"/>
      <c r="P445" s="3"/>
      <c r="Q445" s="3"/>
      <c r="R445" s="3"/>
      <c r="S445" s="3"/>
      <c r="T445" s="3"/>
      <c r="U445" s="3"/>
      <c r="V445" s="3"/>
      <c r="W445" s="3"/>
    </row>
    <row r="446" spans="1:23" x14ac:dyDescent="0.35">
      <c r="A446" s="3"/>
      <c r="B446" s="3"/>
      <c r="C446" s="3"/>
      <c r="D446" s="3"/>
      <c r="E446" s="3"/>
      <c r="F446" s="3"/>
      <c r="G446" s="3"/>
      <c r="H446" s="3"/>
      <c r="I446" s="3"/>
      <c r="J446" s="3"/>
      <c r="K446" s="3"/>
      <c r="L446" s="3"/>
      <c r="M446" s="3"/>
      <c r="N446" s="3"/>
      <c r="O446" s="3"/>
      <c r="P446" s="3"/>
      <c r="Q446" s="3"/>
      <c r="R446" s="3"/>
      <c r="S446" s="3"/>
      <c r="T446" s="3"/>
      <c r="U446" s="3"/>
      <c r="V446" s="3"/>
      <c r="W446" s="3"/>
    </row>
    <row r="447" spans="1:23" x14ac:dyDescent="0.35">
      <c r="A447" s="3"/>
      <c r="B447" s="3"/>
      <c r="C447" s="3"/>
      <c r="D447" s="3"/>
      <c r="E447" s="3"/>
      <c r="F447" s="3"/>
      <c r="G447" s="3"/>
      <c r="H447" s="3"/>
      <c r="I447" s="3"/>
      <c r="J447" s="3"/>
      <c r="K447" s="3"/>
      <c r="L447" s="3"/>
      <c r="M447" s="3"/>
      <c r="N447" s="3"/>
      <c r="O447" s="3"/>
      <c r="P447" s="3"/>
      <c r="Q447" s="3"/>
      <c r="R447" s="3"/>
      <c r="S447" s="3"/>
      <c r="T447" s="3"/>
      <c r="U447" s="3"/>
      <c r="V447" s="3"/>
      <c r="W447" s="3"/>
    </row>
    <row r="448" spans="1:23" x14ac:dyDescent="0.35">
      <c r="A448" s="3"/>
      <c r="B448" s="3"/>
      <c r="C448" s="3"/>
      <c r="D448" s="3"/>
      <c r="E448" s="3"/>
      <c r="F448" s="3"/>
      <c r="G448" s="3"/>
      <c r="H448" s="3"/>
      <c r="I448" s="3"/>
      <c r="J448" s="3"/>
      <c r="K448" s="3"/>
      <c r="L448" s="3"/>
      <c r="M448" s="3"/>
      <c r="N448" s="3"/>
      <c r="O448" s="3"/>
      <c r="P448" s="3"/>
      <c r="Q448" s="3"/>
      <c r="R448" s="3"/>
      <c r="S448" s="3"/>
      <c r="T448" s="3"/>
      <c r="U448" s="3"/>
      <c r="V448" s="3"/>
      <c r="W448" s="3"/>
    </row>
    <row r="449" spans="1:23" x14ac:dyDescent="0.35">
      <c r="A449" s="3"/>
      <c r="B449" s="3"/>
      <c r="C449" s="3"/>
      <c r="D449" s="3"/>
      <c r="E449" s="3"/>
      <c r="F449" s="3"/>
      <c r="G449" s="3"/>
      <c r="H449" s="3"/>
      <c r="I449" s="3"/>
      <c r="J449" s="3"/>
      <c r="K449" s="3"/>
      <c r="L449" s="3"/>
      <c r="M449" s="3"/>
      <c r="N449" s="3"/>
      <c r="O449" s="3"/>
      <c r="P449" s="3"/>
      <c r="Q449" s="3"/>
      <c r="R449" s="3"/>
      <c r="S449" s="3"/>
      <c r="T449" s="3"/>
      <c r="U449" s="3"/>
      <c r="V449" s="3"/>
      <c r="W449" s="3"/>
    </row>
    <row r="450" spans="1:23" x14ac:dyDescent="0.35">
      <c r="A450" s="3"/>
      <c r="B450" s="3"/>
      <c r="C450" s="3"/>
      <c r="D450" s="3"/>
      <c r="E450" s="3"/>
      <c r="F450" s="3"/>
      <c r="G450" s="3"/>
      <c r="H450" s="3"/>
      <c r="I450" s="3"/>
      <c r="J450" s="3"/>
      <c r="K450" s="3"/>
      <c r="L450" s="3"/>
      <c r="M450" s="3"/>
      <c r="N450" s="3"/>
      <c r="O450" s="3"/>
      <c r="P450" s="3"/>
      <c r="Q450" s="3"/>
      <c r="R450" s="3"/>
      <c r="S450" s="3"/>
      <c r="T450" s="3"/>
      <c r="U450" s="3"/>
      <c r="V450" s="3"/>
      <c r="W450" s="3"/>
    </row>
    <row r="451" spans="1:23" x14ac:dyDescent="0.35">
      <c r="A451" s="3"/>
      <c r="B451" s="3"/>
      <c r="C451" s="3"/>
      <c r="D451" s="3"/>
      <c r="E451" s="3"/>
      <c r="F451" s="3"/>
      <c r="G451" s="3"/>
      <c r="H451" s="3"/>
      <c r="I451" s="3"/>
      <c r="J451" s="3"/>
      <c r="K451" s="3"/>
      <c r="L451" s="3"/>
      <c r="M451" s="3"/>
      <c r="N451" s="3"/>
      <c r="O451" s="3"/>
      <c r="P451" s="3"/>
      <c r="Q451" s="3"/>
      <c r="R451" s="3"/>
      <c r="S451" s="3"/>
      <c r="T451" s="3"/>
      <c r="U451" s="3"/>
      <c r="V451" s="3"/>
      <c r="W451" s="3"/>
    </row>
    <row r="452" spans="1:23" x14ac:dyDescent="0.35">
      <c r="A452" s="3"/>
      <c r="B452" s="3"/>
      <c r="C452" s="3"/>
      <c r="D452" s="3"/>
      <c r="E452" s="3"/>
      <c r="F452" s="3"/>
      <c r="G452" s="3"/>
      <c r="H452" s="3"/>
      <c r="I452" s="3"/>
      <c r="J452" s="3"/>
      <c r="K452" s="3"/>
      <c r="L452" s="3"/>
      <c r="M452" s="3"/>
      <c r="N452" s="3"/>
      <c r="O452" s="3"/>
      <c r="P452" s="3"/>
      <c r="Q452" s="3"/>
      <c r="R452" s="3"/>
      <c r="S452" s="3"/>
      <c r="T452" s="3"/>
      <c r="U452" s="3"/>
      <c r="V452" s="3"/>
      <c r="W452" s="3"/>
    </row>
    <row r="453" spans="1:23" x14ac:dyDescent="0.35">
      <c r="A453" s="3"/>
      <c r="B453" s="3"/>
      <c r="C453" s="3"/>
      <c r="D453" s="3"/>
      <c r="E453" s="3"/>
      <c r="F453" s="3"/>
      <c r="G453" s="3"/>
      <c r="H453" s="3"/>
      <c r="I453" s="3"/>
      <c r="J453" s="3"/>
      <c r="K453" s="3"/>
      <c r="L453" s="3"/>
      <c r="M453" s="3"/>
      <c r="N453" s="3"/>
      <c r="O453" s="3"/>
      <c r="P453" s="3"/>
      <c r="Q453" s="3"/>
      <c r="R453" s="3"/>
      <c r="S453" s="3"/>
      <c r="T453" s="3"/>
      <c r="U453" s="3"/>
      <c r="V453" s="3"/>
      <c r="W453" s="3"/>
    </row>
    <row r="454" spans="1:23" x14ac:dyDescent="0.35">
      <c r="A454" s="3"/>
      <c r="B454" s="3"/>
      <c r="C454" s="3"/>
      <c r="D454" s="3"/>
      <c r="E454" s="3"/>
      <c r="F454" s="3"/>
      <c r="G454" s="3"/>
      <c r="H454" s="3"/>
      <c r="I454" s="3"/>
      <c r="J454" s="3"/>
      <c r="K454" s="3"/>
      <c r="L454" s="3"/>
      <c r="M454" s="3"/>
      <c r="N454" s="3"/>
      <c r="O454" s="3"/>
      <c r="P454" s="3"/>
      <c r="Q454" s="3"/>
      <c r="R454" s="3"/>
      <c r="S454" s="3"/>
      <c r="T454" s="3"/>
      <c r="U454" s="3"/>
      <c r="V454" s="3"/>
      <c r="W454" s="3"/>
    </row>
    <row r="455" spans="1:23" x14ac:dyDescent="0.35">
      <c r="A455" s="3"/>
      <c r="B455" s="3"/>
      <c r="C455" s="3"/>
      <c r="D455" s="3"/>
      <c r="E455" s="3"/>
      <c r="F455" s="3"/>
      <c r="G455" s="3"/>
      <c r="H455" s="3"/>
      <c r="I455" s="3"/>
      <c r="J455" s="3"/>
      <c r="K455" s="3"/>
      <c r="L455" s="3"/>
      <c r="M455" s="3"/>
      <c r="N455" s="3"/>
      <c r="O455" s="3"/>
      <c r="P455" s="3"/>
      <c r="Q455" s="3"/>
      <c r="R455" s="3"/>
      <c r="S455" s="3"/>
      <c r="T455" s="3"/>
      <c r="U455" s="3"/>
      <c r="V455" s="3"/>
      <c r="W455" s="3"/>
    </row>
    <row r="456" spans="1:23" x14ac:dyDescent="0.35">
      <c r="A456" s="3"/>
      <c r="B456" s="3"/>
      <c r="C456" s="3"/>
      <c r="D456" s="3"/>
      <c r="E456" s="3"/>
      <c r="F456" s="3"/>
      <c r="G456" s="3"/>
      <c r="H456" s="3"/>
      <c r="I456" s="3"/>
      <c r="J456" s="3"/>
      <c r="K456" s="3"/>
      <c r="L456" s="3"/>
      <c r="M456" s="3"/>
      <c r="N456" s="3"/>
      <c r="O456" s="3"/>
      <c r="P456" s="3"/>
      <c r="Q456" s="3"/>
      <c r="R456" s="3"/>
      <c r="S456" s="3"/>
      <c r="T456" s="3"/>
      <c r="U456" s="3"/>
      <c r="V456" s="3"/>
      <c r="W456" s="3"/>
    </row>
    <row r="457" spans="1:23" x14ac:dyDescent="0.35">
      <c r="A457" s="3"/>
      <c r="B457" s="3"/>
      <c r="C457" s="3"/>
      <c r="D457" s="3"/>
      <c r="E457" s="3"/>
      <c r="F457" s="3"/>
      <c r="G457" s="3"/>
      <c r="H457" s="3"/>
      <c r="I457" s="3"/>
      <c r="J457" s="3"/>
      <c r="K457" s="3"/>
      <c r="L457" s="3"/>
      <c r="M457" s="3"/>
      <c r="N457" s="3"/>
      <c r="O457" s="3"/>
      <c r="P457" s="3"/>
      <c r="Q457" s="3"/>
      <c r="R457" s="3"/>
      <c r="S457" s="3"/>
      <c r="T457" s="3"/>
      <c r="U457" s="3"/>
      <c r="V457" s="3"/>
      <c r="W457" s="3"/>
    </row>
    <row r="458" spans="1:23" x14ac:dyDescent="0.35">
      <c r="A458" s="3"/>
      <c r="B458" s="3"/>
      <c r="C458" s="3"/>
      <c r="D458" s="3"/>
      <c r="E458" s="3"/>
      <c r="F458" s="3"/>
      <c r="G458" s="3"/>
      <c r="H458" s="3"/>
      <c r="I458" s="3"/>
      <c r="J458" s="3"/>
      <c r="K458" s="3"/>
      <c r="L458" s="3"/>
      <c r="M458" s="3"/>
      <c r="N458" s="3"/>
      <c r="O458" s="3"/>
      <c r="P458" s="3"/>
      <c r="Q458" s="3"/>
      <c r="R458" s="3"/>
      <c r="S458" s="3"/>
      <c r="T458" s="3"/>
      <c r="U458" s="3"/>
      <c r="V458" s="3"/>
      <c r="W458" s="3"/>
    </row>
    <row r="459" spans="1:23" x14ac:dyDescent="0.35">
      <c r="A459" s="3"/>
      <c r="B459" s="3"/>
      <c r="C459" s="3"/>
      <c r="D459" s="3"/>
      <c r="E459" s="3"/>
      <c r="F459" s="3"/>
      <c r="G459" s="3"/>
      <c r="H459" s="3"/>
      <c r="I459" s="3"/>
      <c r="J459" s="3"/>
      <c r="K459" s="3"/>
      <c r="L459" s="3"/>
      <c r="M459" s="3"/>
      <c r="N459" s="3"/>
      <c r="O459" s="3"/>
      <c r="P459" s="3"/>
      <c r="Q459" s="3"/>
      <c r="R459" s="3"/>
      <c r="S459" s="3"/>
      <c r="T459" s="3"/>
      <c r="U459" s="3"/>
      <c r="V459" s="3"/>
      <c r="W459" s="3"/>
    </row>
    <row r="460" spans="1:23" x14ac:dyDescent="0.35">
      <c r="A460" s="3"/>
      <c r="B460" s="3"/>
      <c r="C460" s="3"/>
      <c r="D460" s="3"/>
      <c r="E460" s="3"/>
      <c r="F460" s="3"/>
      <c r="G460" s="3"/>
      <c r="H460" s="3"/>
      <c r="I460" s="3"/>
      <c r="J460" s="3"/>
      <c r="K460" s="3"/>
      <c r="L460" s="3"/>
      <c r="M460" s="3"/>
      <c r="N460" s="3"/>
      <c r="O460" s="3"/>
      <c r="P460" s="3"/>
      <c r="Q460" s="3"/>
      <c r="R460" s="3"/>
      <c r="S460" s="3"/>
      <c r="T460" s="3"/>
      <c r="U460" s="3"/>
      <c r="V460" s="3"/>
      <c r="W460" s="3"/>
    </row>
    <row r="461" spans="1:23" x14ac:dyDescent="0.35">
      <c r="A461" s="3"/>
      <c r="B461" s="3"/>
      <c r="C461" s="3"/>
      <c r="D461" s="3"/>
      <c r="E461" s="3"/>
      <c r="F461" s="3"/>
      <c r="G461" s="3"/>
      <c r="H461" s="3"/>
      <c r="I461" s="3"/>
      <c r="J461" s="3"/>
      <c r="K461" s="3"/>
      <c r="L461" s="3"/>
      <c r="M461" s="3"/>
      <c r="N461" s="3"/>
      <c r="O461" s="3"/>
      <c r="P461" s="3"/>
      <c r="Q461" s="3"/>
      <c r="R461" s="3"/>
      <c r="S461" s="3"/>
      <c r="T461" s="3"/>
      <c r="U461" s="3"/>
      <c r="V461" s="3"/>
      <c r="W461" s="3"/>
    </row>
    <row r="462" spans="1:23" x14ac:dyDescent="0.35">
      <c r="A462" s="3"/>
      <c r="B462" s="3"/>
      <c r="C462" s="3"/>
      <c r="D462" s="3"/>
      <c r="E462" s="3"/>
      <c r="F462" s="3"/>
      <c r="G462" s="3"/>
      <c r="H462" s="3"/>
      <c r="I462" s="3"/>
      <c r="J462" s="3"/>
      <c r="K462" s="3"/>
      <c r="L462" s="3"/>
      <c r="M462" s="3"/>
      <c r="N462" s="3"/>
      <c r="O462" s="3"/>
      <c r="P462" s="3"/>
      <c r="Q462" s="3"/>
      <c r="R462" s="3"/>
      <c r="S462" s="3"/>
      <c r="T462" s="3"/>
      <c r="U462" s="3"/>
      <c r="V462" s="3"/>
      <c r="W462" s="3"/>
    </row>
    <row r="463" spans="1:23" x14ac:dyDescent="0.35">
      <c r="A463" s="3"/>
      <c r="B463" s="3"/>
      <c r="C463" s="3"/>
      <c r="D463" s="3"/>
      <c r="E463" s="3"/>
      <c r="F463" s="3"/>
      <c r="G463" s="3"/>
      <c r="H463" s="3"/>
      <c r="I463" s="3"/>
      <c r="J463" s="3"/>
      <c r="K463" s="3"/>
      <c r="L463" s="3"/>
      <c r="M463" s="3"/>
      <c r="N463" s="3"/>
      <c r="O463" s="3"/>
      <c r="P463" s="3"/>
      <c r="Q463" s="3"/>
      <c r="R463" s="3"/>
      <c r="S463" s="3"/>
      <c r="T463" s="3"/>
      <c r="U463" s="3"/>
      <c r="V463" s="3"/>
      <c r="W463" s="3"/>
    </row>
    <row r="464" spans="1:23" x14ac:dyDescent="0.35">
      <c r="A464" s="3"/>
      <c r="B464" s="3"/>
      <c r="C464" s="3"/>
      <c r="D464" s="3"/>
      <c r="E464" s="3"/>
      <c r="F464" s="3"/>
      <c r="G464" s="3"/>
      <c r="H464" s="3"/>
      <c r="I464" s="3"/>
      <c r="J464" s="3"/>
      <c r="K464" s="3"/>
      <c r="L464" s="3"/>
      <c r="M464" s="3"/>
      <c r="N464" s="3"/>
      <c r="O464" s="3"/>
      <c r="P464" s="3"/>
      <c r="Q464" s="3"/>
      <c r="R464" s="3"/>
      <c r="S464" s="3"/>
      <c r="T464" s="3"/>
      <c r="U464" s="3"/>
      <c r="V464" s="3"/>
      <c r="W464" s="3"/>
    </row>
    <row r="465" spans="1:23" x14ac:dyDescent="0.35">
      <c r="A465" s="3"/>
      <c r="B465" s="3"/>
      <c r="C465" s="3"/>
      <c r="D465" s="3"/>
      <c r="E465" s="3"/>
      <c r="F465" s="3"/>
      <c r="G465" s="3"/>
      <c r="H465" s="3"/>
      <c r="I465" s="3"/>
      <c r="J465" s="3"/>
      <c r="K465" s="3"/>
      <c r="L465" s="3"/>
      <c r="M465" s="3"/>
      <c r="N465" s="3"/>
      <c r="O465" s="3"/>
      <c r="P465" s="3"/>
      <c r="Q465" s="3"/>
      <c r="R465" s="3"/>
      <c r="S465" s="3"/>
      <c r="T465" s="3"/>
      <c r="U465" s="3"/>
      <c r="V465" s="3"/>
      <c r="W465" s="3"/>
    </row>
    <row r="466" spans="1:23" x14ac:dyDescent="0.35">
      <c r="A466" s="3"/>
      <c r="B466" s="3"/>
      <c r="C466" s="3"/>
      <c r="D466" s="3"/>
      <c r="E466" s="3"/>
      <c r="F466" s="3"/>
      <c r="G466" s="3"/>
      <c r="H466" s="3"/>
      <c r="I466" s="3"/>
      <c r="J466" s="3"/>
      <c r="K466" s="3"/>
      <c r="L466" s="3"/>
      <c r="M466" s="3"/>
      <c r="N466" s="3"/>
      <c r="O466" s="3"/>
      <c r="P466" s="3"/>
      <c r="Q466" s="3"/>
      <c r="R466" s="3"/>
      <c r="S466" s="3"/>
      <c r="T466" s="3"/>
      <c r="U466" s="3"/>
      <c r="V466" s="3"/>
      <c r="W466" s="3"/>
    </row>
    <row r="467" spans="1:23" x14ac:dyDescent="0.35">
      <c r="A467" s="3"/>
      <c r="B467" s="3"/>
      <c r="C467" s="3"/>
      <c r="D467" s="3"/>
      <c r="E467" s="3"/>
      <c r="F467" s="3"/>
      <c r="G467" s="3"/>
      <c r="H467" s="3"/>
      <c r="I467" s="3"/>
      <c r="J467" s="3"/>
      <c r="K467" s="3"/>
      <c r="L467" s="3"/>
      <c r="M467" s="3"/>
      <c r="N467" s="3"/>
      <c r="O467" s="3"/>
      <c r="P467" s="3"/>
      <c r="Q467" s="3"/>
      <c r="R467" s="3"/>
      <c r="S467" s="3"/>
      <c r="T467" s="3"/>
      <c r="U467" s="3"/>
      <c r="V467" s="3"/>
      <c r="W467" s="3"/>
    </row>
    <row r="468" spans="1:23" x14ac:dyDescent="0.35">
      <c r="A468" s="3"/>
      <c r="B468" s="3"/>
      <c r="C468" s="3"/>
      <c r="D468" s="3"/>
      <c r="E468" s="3"/>
      <c r="F468" s="3"/>
      <c r="G468" s="3"/>
      <c r="H468" s="3"/>
      <c r="I468" s="3"/>
      <c r="J468" s="3"/>
      <c r="K468" s="3"/>
      <c r="L468" s="3"/>
      <c r="M468" s="3"/>
      <c r="N468" s="3"/>
      <c r="O468" s="3"/>
      <c r="P468" s="3"/>
      <c r="Q468" s="3"/>
      <c r="R468" s="3"/>
      <c r="S468" s="3"/>
      <c r="T468" s="3"/>
      <c r="U468" s="3"/>
      <c r="V468" s="3"/>
      <c r="W468" s="3"/>
    </row>
    <row r="469" spans="1:23" x14ac:dyDescent="0.35">
      <c r="A469" s="3"/>
      <c r="B469" s="3"/>
      <c r="C469" s="3"/>
      <c r="D469" s="3"/>
      <c r="E469" s="3"/>
      <c r="F469" s="3"/>
      <c r="G469" s="3"/>
      <c r="H469" s="3"/>
      <c r="I469" s="3"/>
      <c r="J469" s="3"/>
      <c r="K469" s="3"/>
      <c r="L469" s="3"/>
      <c r="M469" s="3"/>
      <c r="N469" s="3"/>
      <c r="O469" s="3"/>
      <c r="P469" s="3"/>
      <c r="Q469" s="3"/>
      <c r="R469" s="3"/>
      <c r="S469" s="3"/>
      <c r="T469" s="3"/>
      <c r="U469" s="3"/>
      <c r="V469" s="3"/>
      <c r="W469" s="3"/>
    </row>
    <row r="470" spans="1:23" x14ac:dyDescent="0.35">
      <c r="A470" s="3"/>
      <c r="B470" s="3"/>
      <c r="C470" s="3"/>
      <c r="D470" s="3"/>
      <c r="E470" s="3"/>
      <c r="F470" s="3"/>
      <c r="G470" s="3"/>
      <c r="H470" s="3"/>
      <c r="I470" s="3"/>
      <c r="J470" s="3"/>
      <c r="K470" s="3"/>
      <c r="L470" s="3"/>
      <c r="M470" s="3"/>
      <c r="N470" s="3"/>
      <c r="O470" s="3"/>
      <c r="P470" s="3"/>
      <c r="Q470" s="3"/>
      <c r="R470" s="3"/>
      <c r="S470" s="3"/>
      <c r="T470" s="3"/>
      <c r="U470" s="3"/>
      <c r="V470" s="3"/>
      <c r="W470" s="3"/>
    </row>
    <row r="471" spans="1:23" x14ac:dyDescent="0.35">
      <c r="A471" s="3"/>
      <c r="B471" s="3"/>
      <c r="C471" s="3"/>
      <c r="D471" s="3"/>
      <c r="E471" s="3"/>
      <c r="F471" s="3"/>
      <c r="G471" s="3"/>
      <c r="H471" s="3"/>
      <c r="I471" s="3"/>
      <c r="J471" s="3"/>
      <c r="K471" s="3"/>
      <c r="L471" s="3"/>
      <c r="M471" s="3"/>
      <c r="N471" s="3"/>
      <c r="O471" s="3"/>
      <c r="P471" s="3"/>
      <c r="Q471" s="3"/>
      <c r="R471" s="3"/>
      <c r="S471" s="3"/>
      <c r="T471" s="3"/>
      <c r="U471" s="3"/>
      <c r="V471" s="3"/>
      <c r="W471" s="3"/>
    </row>
    <row r="472" spans="1:23" x14ac:dyDescent="0.35">
      <c r="A472" s="3"/>
      <c r="B472" s="3"/>
      <c r="C472" s="3"/>
      <c r="D472" s="3"/>
      <c r="E472" s="3"/>
      <c r="F472" s="3"/>
      <c r="G472" s="3"/>
      <c r="H472" s="3"/>
      <c r="I472" s="3"/>
      <c r="J472" s="3"/>
      <c r="K472" s="3"/>
      <c r="L472" s="3"/>
      <c r="M472" s="3"/>
      <c r="N472" s="3"/>
      <c r="O472" s="3"/>
      <c r="P472" s="3"/>
      <c r="Q472" s="3"/>
      <c r="R472" s="3"/>
      <c r="S472" s="3"/>
      <c r="T472" s="3"/>
      <c r="U472" s="3"/>
      <c r="V472" s="3"/>
      <c r="W472" s="3"/>
    </row>
    <row r="473" spans="1:23" x14ac:dyDescent="0.35">
      <c r="A473" s="3"/>
      <c r="B473" s="3"/>
      <c r="C473" s="3"/>
      <c r="D473" s="3"/>
      <c r="E473" s="3"/>
      <c r="F473" s="3"/>
      <c r="G473" s="3"/>
      <c r="H473" s="3"/>
      <c r="I473" s="3"/>
      <c r="J473" s="3"/>
      <c r="K473" s="3"/>
      <c r="L473" s="3"/>
      <c r="M473" s="3"/>
      <c r="N473" s="3"/>
      <c r="O473" s="3"/>
      <c r="P473" s="3"/>
      <c r="Q473" s="3"/>
      <c r="R473" s="3"/>
      <c r="S473" s="3"/>
      <c r="T473" s="3"/>
      <c r="U473" s="3"/>
      <c r="V473" s="3"/>
      <c r="W473" s="3"/>
    </row>
    <row r="474" spans="1:23" x14ac:dyDescent="0.35">
      <c r="A474" s="3"/>
      <c r="B474" s="3"/>
      <c r="C474" s="3"/>
      <c r="D474" s="3"/>
      <c r="E474" s="3"/>
      <c r="F474" s="3"/>
      <c r="G474" s="3"/>
      <c r="H474" s="3"/>
      <c r="I474" s="3"/>
      <c r="J474" s="3"/>
      <c r="K474" s="3"/>
      <c r="L474" s="3"/>
      <c r="M474" s="3"/>
      <c r="N474" s="3"/>
      <c r="O474" s="3"/>
      <c r="P474" s="3"/>
      <c r="Q474" s="3"/>
      <c r="R474" s="3"/>
      <c r="S474" s="3"/>
      <c r="T474" s="3"/>
      <c r="U474" s="3"/>
      <c r="V474" s="3"/>
      <c r="W474" s="3"/>
    </row>
    <row r="475" spans="1:23" x14ac:dyDescent="0.35">
      <c r="A475" s="3"/>
      <c r="B475" s="3"/>
      <c r="C475" s="3"/>
      <c r="D475" s="3"/>
      <c r="E475" s="3"/>
      <c r="F475" s="3"/>
      <c r="G475" s="3"/>
      <c r="H475" s="3"/>
      <c r="I475" s="3"/>
      <c r="J475" s="3"/>
      <c r="K475" s="3"/>
      <c r="L475" s="3"/>
      <c r="M475" s="3"/>
      <c r="N475" s="3"/>
      <c r="O475" s="3"/>
      <c r="P475" s="3"/>
      <c r="Q475" s="3"/>
      <c r="R475" s="3"/>
      <c r="S475" s="3"/>
      <c r="T475" s="3"/>
      <c r="U475" s="3"/>
      <c r="V475" s="3"/>
      <c r="W475" s="3"/>
    </row>
    <row r="476" spans="1:23" x14ac:dyDescent="0.35">
      <c r="A476" s="3"/>
      <c r="B476" s="3"/>
      <c r="C476" s="3"/>
      <c r="D476" s="3"/>
      <c r="E476" s="3"/>
      <c r="F476" s="3"/>
      <c r="G476" s="3"/>
      <c r="H476" s="3"/>
      <c r="I476" s="3"/>
      <c r="J476" s="3"/>
      <c r="K476" s="3"/>
      <c r="L476" s="3"/>
      <c r="M476" s="3"/>
      <c r="N476" s="3"/>
      <c r="O476" s="3"/>
      <c r="P476" s="3"/>
      <c r="Q476" s="3"/>
      <c r="R476" s="3"/>
      <c r="S476" s="3"/>
      <c r="T476" s="3"/>
      <c r="U476" s="3"/>
      <c r="V476" s="3"/>
      <c r="W476" s="3"/>
    </row>
    <row r="477" spans="1:23" x14ac:dyDescent="0.35">
      <c r="A477" s="3"/>
      <c r="B477" s="3"/>
      <c r="C477" s="3"/>
      <c r="D477" s="3"/>
      <c r="E477" s="3"/>
      <c r="F477" s="3"/>
      <c r="G477" s="3"/>
      <c r="H477" s="3"/>
      <c r="I477" s="3"/>
      <c r="J477" s="3"/>
      <c r="K477" s="3"/>
      <c r="L477" s="3"/>
      <c r="M477" s="3"/>
      <c r="N477" s="3"/>
      <c r="O477" s="3"/>
      <c r="P477" s="3"/>
      <c r="Q477" s="3"/>
      <c r="R477" s="3"/>
      <c r="S477" s="3"/>
      <c r="T477" s="3"/>
      <c r="U477" s="3"/>
      <c r="V477" s="3"/>
      <c r="W477" s="3"/>
    </row>
    <row r="478" spans="1:23" x14ac:dyDescent="0.35">
      <c r="A478" s="3"/>
      <c r="B478" s="3"/>
      <c r="C478" s="3"/>
      <c r="D478" s="3"/>
      <c r="E478" s="3"/>
      <c r="F478" s="3"/>
      <c r="G478" s="3"/>
      <c r="H478" s="3"/>
      <c r="I478" s="3"/>
      <c r="J478" s="3"/>
      <c r="K478" s="3"/>
      <c r="L478" s="3"/>
      <c r="M478" s="3"/>
      <c r="N478" s="3"/>
      <c r="O478" s="3"/>
      <c r="P478" s="3"/>
      <c r="Q478" s="3"/>
      <c r="R478" s="3"/>
      <c r="S478" s="3"/>
      <c r="T478" s="3"/>
      <c r="U478" s="3"/>
      <c r="V478" s="3"/>
      <c r="W478" s="3"/>
    </row>
    <row r="479" spans="1:23" x14ac:dyDescent="0.35">
      <c r="A479" s="3"/>
      <c r="B479" s="3"/>
      <c r="C479" s="3"/>
      <c r="D479" s="3"/>
      <c r="E479" s="3"/>
      <c r="F479" s="3"/>
      <c r="G479" s="3"/>
      <c r="H479" s="3"/>
      <c r="I479" s="3"/>
      <c r="J479" s="3"/>
      <c r="K479" s="3"/>
      <c r="L479" s="3"/>
      <c r="M479" s="3"/>
      <c r="N479" s="3"/>
      <c r="O479" s="3"/>
      <c r="P479" s="3"/>
      <c r="Q479" s="3"/>
      <c r="R479" s="3"/>
      <c r="S479" s="3"/>
      <c r="T479" s="3"/>
      <c r="U479" s="3"/>
      <c r="V479" s="3"/>
      <c r="W479" s="3"/>
    </row>
    <row r="480" spans="1:23" x14ac:dyDescent="0.35">
      <c r="A480" s="3"/>
      <c r="B480" s="3"/>
      <c r="C480" s="3"/>
      <c r="D480" s="3"/>
      <c r="E480" s="3"/>
      <c r="F480" s="3"/>
      <c r="G480" s="3"/>
      <c r="H480" s="3"/>
      <c r="I480" s="3"/>
      <c r="J480" s="3"/>
      <c r="K480" s="3"/>
      <c r="L480" s="3"/>
      <c r="M480" s="3"/>
      <c r="N480" s="3"/>
      <c r="O480" s="3"/>
      <c r="P480" s="3"/>
      <c r="Q480" s="3"/>
      <c r="R480" s="3"/>
      <c r="S480" s="3"/>
      <c r="T480" s="3"/>
      <c r="U480" s="3"/>
      <c r="V480" s="3"/>
      <c r="W480" s="3"/>
    </row>
    <row r="481" spans="1:23" x14ac:dyDescent="0.35">
      <c r="A481" s="3"/>
      <c r="B481" s="3"/>
      <c r="C481" s="3"/>
      <c r="D481" s="3"/>
      <c r="E481" s="3"/>
      <c r="F481" s="3"/>
      <c r="G481" s="3"/>
      <c r="H481" s="3"/>
      <c r="I481" s="3"/>
      <c r="J481" s="3"/>
      <c r="K481" s="3"/>
      <c r="L481" s="3"/>
      <c r="M481" s="3"/>
      <c r="N481" s="3"/>
      <c r="O481" s="3"/>
      <c r="P481" s="3"/>
      <c r="Q481" s="3"/>
      <c r="R481" s="3"/>
      <c r="S481" s="3"/>
      <c r="T481" s="3"/>
      <c r="U481" s="3"/>
      <c r="V481" s="3"/>
      <c r="W481" s="3"/>
    </row>
    <row r="482" spans="1:23" x14ac:dyDescent="0.35">
      <c r="A482" s="3"/>
      <c r="B482" s="3"/>
      <c r="C482" s="3"/>
      <c r="D482" s="3"/>
      <c r="E482" s="3"/>
      <c r="F482" s="3"/>
      <c r="G482" s="3"/>
      <c r="H482" s="3"/>
      <c r="I482" s="3"/>
      <c r="J482" s="3"/>
      <c r="K482" s="3"/>
      <c r="L482" s="3"/>
      <c r="M482" s="3"/>
      <c r="N482" s="3"/>
      <c r="O482" s="3"/>
      <c r="P482" s="3"/>
      <c r="Q482" s="3"/>
      <c r="R482" s="3"/>
      <c r="S482" s="3"/>
      <c r="T482" s="3"/>
      <c r="U482" s="3"/>
      <c r="V482" s="3"/>
      <c r="W482" s="3"/>
    </row>
    <row r="483" spans="1:23" x14ac:dyDescent="0.35">
      <c r="A483" s="3"/>
      <c r="B483" s="3"/>
      <c r="C483" s="3"/>
      <c r="D483" s="3"/>
      <c r="E483" s="3"/>
      <c r="F483" s="3"/>
      <c r="G483" s="3"/>
      <c r="H483" s="3"/>
      <c r="I483" s="3"/>
      <c r="J483" s="3"/>
      <c r="K483" s="3"/>
      <c r="L483" s="3"/>
      <c r="M483" s="3"/>
      <c r="N483" s="3"/>
      <c r="O483" s="3"/>
      <c r="P483" s="3"/>
      <c r="Q483" s="3"/>
      <c r="R483" s="3"/>
      <c r="S483" s="3"/>
      <c r="T483" s="3"/>
      <c r="U483" s="3"/>
      <c r="V483" s="3"/>
      <c r="W483" s="3"/>
    </row>
    <row r="484" spans="1:23" x14ac:dyDescent="0.35">
      <c r="A484" s="3"/>
      <c r="B484" s="3"/>
      <c r="C484" s="3"/>
      <c r="D484" s="3"/>
      <c r="E484" s="3"/>
      <c r="F484" s="3"/>
      <c r="G484" s="3"/>
      <c r="H484" s="3"/>
      <c r="I484" s="3"/>
      <c r="J484" s="3"/>
      <c r="K484" s="3"/>
      <c r="L484" s="3"/>
      <c r="M484" s="3"/>
      <c r="N484" s="3"/>
      <c r="O484" s="3"/>
      <c r="P484" s="3"/>
      <c r="Q484" s="3"/>
      <c r="R484" s="3"/>
      <c r="S484" s="3"/>
      <c r="T484" s="3"/>
      <c r="U484" s="3"/>
      <c r="V484" s="3"/>
      <c r="W484" s="3"/>
    </row>
    <row r="485" spans="1:23" x14ac:dyDescent="0.35">
      <c r="A485" s="3"/>
      <c r="B485" s="3"/>
      <c r="C485" s="3"/>
      <c r="D485" s="3"/>
      <c r="E485" s="3"/>
      <c r="F485" s="3"/>
      <c r="G485" s="3"/>
      <c r="H485" s="3"/>
      <c r="I485" s="3"/>
      <c r="J485" s="3"/>
      <c r="K485" s="3"/>
      <c r="L485" s="3"/>
      <c r="M485" s="3"/>
      <c r="N485" s="3"/>
      <c r="O485" s="3"/>
      <c r="P485" s="3"/>
      <c r="Q485" s="3"/>
      <c r="R485" s="3"/>
      <c r="S485" s="3"/>
      <c r="T485" s="3"/>
      <c r="U485" s="3"/>
      <c r="V485" s="3"/>
      <c r="W485" s="3"/>
    </row>
    <row r="486" spans="1:23" x14ac:dyDescent="0.35">
      <c r="A486" s="3"/>
      <c r="B486" s="3"/>
      <c r="C486" s="3"/>
      <c r="D486" s="3"/>
      <c r="E486" s="3"/>
      <c r="F486" s="3"/>
      <c r="G486" s="3"/>
      <c r="H486" s="3"/>
      <c r="I486" s="3"/>
      <c r="J486" s="3"/>
      <c r="K486" s="3"/>
      <c r="L486" s="3"/>
      <c r="M486" s="3"/>
      <c r="N486" s="3"/>
      <c r="O486" s="3"/>
      <c r="P486" s="3"/>
      <c r="Q486" s="3"/>
      <c r="R486" s="3"/>
      <c r="S486" s="3"/>
      <c r="T486" s="3"/>
      <c r="U486" s="3"/>
      <c r="V486" s="3"/>
      <c r="W486" s="3"/>
    </row>
    <row r="487" spans="1:23" x14ac:dyDescent="0.35">
      <c r="A487" s="3"/>
      <c r="B487" s="3"/>
      <c r="C487" s="3"/>
      <c r="D487" s="3"/>
      <c r="E487" s="3"/>
      <c r="F487" s="3"/>
      <c r="G487" s="3"/>
      <c r="H487" s="3"/>
      <c r="I487" s="3"/>
      <c r="J487" s="3"/>
      <c r="K487" s="3"/>
      <c r="L487" s="3"/>
      <c r="M487" s="3"/>
      <c r="N487" s="3"/>
      <c r="O487" s="3"/>
      <c r="P487" s="3"/>
      <c r="Q487" s="3"/>
      <c r="R487" s="3"/>
      <c r="S487" s="3"/>
      <c r="T487" s="3"/>
      <c r="U487" s="3"/>
      <c r="V487" s="3"/>
      <c r="W487" s="3"/>
    </row>
    <row r="488" spans="1:23" x14ac:dyDescent="0.35">
      <c r="A488" s="3"/>
      <c r="B488" s="3"/>
      <c r="C488" s="3"/>
      <c r="D488" s="3"/>
      <c r="E488" s="3"/>
      <c r="F488" s="3"/>
      <c r="G488" s="3"/>
      <c r="H488" s="3"/>
      <c r="I488" s="3"/>
      <c r="J488" s="3"/>
      <c r="K488" s="3"/>
      <c r="L488" s="3"/>
      <c r="M488" s="3"/>
      <c r="N488" s="3"/>
      <c r="O488" s="3"/>
      <c r="P488" s="3"/>
      <c r="Q488" s="3"/>
      <c r="R488" s="3"/>
      <c r="S488" s="3"/>
      <c r="T488" s="3"/>
      <c r="U488" s="3"/>
      <c r="V488" s="3"/>
      <c r="W488" s="3"/>
    </row>
    <row r="489" spans="1:23" x14ac:dyDescent="0.35">
      <c r="A489" s="3"/>
      <c r="B489" s="3"/>
      <c r="C489" s="3"/>
      <c r="D489" s="3"/>
      <c r="E489" s="3"/>
      <c r="F489" s="3"/>
      <c r="G489" s="3"/>
      <c r="H489" s="3"/>
      <c r="I489" s="3"/>
      <c r="J489" s="3"/>
      <c r="K489" s="3"/>
      <c r="L489" s="3"/>
      <c r="M489" s="3"/>
      <c r="N489" s="3"/>
      <c r="O489" s="3"/>
      <c r="P489" s="3"/>
      <c r="Q489" s="3"/>
      <c r="R489" s="3"/>
      <c r="S489" s="3"/>
      <c r="T489" s="3"/>
      <c r="U489" s="3"/>
      <c r="V489" s="3"/>
      <c r="W489" s="3"/>
    </row>
    <row r="490" spans="1:23" x14ac:dyDescent="0.35">
      <c r="A490" s="3"/>
      <c r="B490" s="3"/>
      <c r="C490" s="3"/>
      <c r="D490" s="3"/>
      <c r="E490" s="3"/>
      <c r="F490" s="3"/>
      <c r="G490" s="3"/>
      <c r="H490" s="3"/>
      <c r="I490" s="3"/>
      <c r="J490" s="3"/>
      <c r="K490" s="3"/>
      <c r="L490" s="3"/>
      <c r="M490" s="3"/>
      <c r="N490" s="3"/>
      <c r="O490" s="3"/>
      <c r="P490" s="3"/>
      <c r="Q490" s="3"/>
      <c r="R490" s="3"/>
      <c r="S490" s="3"/>
      <c r="T490" s="3"/>
      <c r="U490" s="3"/>
      <c r="V490" s="3"/>
      <c r="W490" s="3"/>
    </row>
    <row r="491" spans="1:23" x14ac:dyDescent="0.35">
      <c r="A491" s="3"/>
      <c r="B491" s="3"/>
      <c r="C491" s="3"/>
      <c r="D491" s="3"/>
      <c r="E491" s="3"/>
      <c r="F491" s="3"/>
      <c r="G491" s="3"/>
      <c r="H491" s="3"/>
      <c r="I491" s="3"/>
      <c r="J491" s="3"/>
      <c r="K491" s="3"/>
      <c r="L491" s="3"/>
      <c r="M491" s="3"/>
      <c r="N491" s="3"/>
      <c r="O491" s="3"/>
      <c r="P491" s="3"/>
      <c r="Q491" s="3"/>
      <c r="R491" s="3"/>
      <c r="S491" s="3"/>
      <c r="T491" s="3"/>
      <c r="U491" s="3"/>
      <c r="V491" s="3"/>
      <c r="W491" s="3"/>
    </row>
    <row r="492" spans="1:23" x14ac:dyDescent="0.35">
      <c r="A492" s="3"/>
      <c r="B492" s="3"/>
      <c r="C492" s="3"/>
      <c r="D492" s="3"/>
      <c r="E492" s="3"/>
      <c r="F492" s="3"/>
      <c r="G492" s="3"/>
      <c r="H492" s="3"/>
      <c r="I492" s="3"/>
      <c r="J492" s="3"/>
      <c r="K492" s="3"/>
      <c r="L492" s="3"/>
      <c r="M492" s="3"/>
      <c r="N492" s="3"/>
      <c r="O492" s="3"/>
      <c r="P492" s="3"/>
      <c r="Q492" s="3"/>
      <c r="R492" s="3"/>
      <c r="S492" s="3"/>
      <c r="T492" s="3"/>
      <c r="U492" s="3"/>
      <c r="V492" s="3"/>
      <c r="W492" s="3"/>
    </row>
    <row r="493" spans="1:23" x14ac:dyDescent="0.35">
      <c r="A493" s="3"/>
      <c r="B493" s="3"/>
      <c r="C493" s="3"/>
      <c r="D493" s="3"/>
      <c r="E493" s="3"/>
      <c r="F493" s="3"/>
      <c r="G493" s="3"/>
      <c r="H493" s="3"/>
      <c r="I493" s="3"/>
      <c r="J493" s="3"/>
      <c r="K493" s="3"/>
      <c r="L493" s="3"/>
      <c r="M493" s="3"/>
      <c r="N493" s="3"/>
      <c r="O493" s="3"/>
      <c r="P493" s="3"/>
      <c r="Q493" s="3"/>
      <c r="R493" s="3"/>
      <c r="S493" s="3"/>
      <c r="T493" s="3"/>
      <c r="U493" s="3"/>
      <c r="V493" s="3"/>
      <c r="W493" s="3"/>
    </row>
    <row r="494" spans="1:23" x14ac:dyDescent="0.35">
      <c r="A494" s="3"/>
      <c r="B494" s="3"/>
      <c r="C494" s="3"/>
      <c r="D494" s="3"/>
      <c r="E494" s="3"/>
      <c r="F494" s="3"/>
      <c r="G494" s="3"/>
      <c r="H494" s="3"/>
      <c r="I494" s="3"/>
      <c r="J494" s="3"/>
      <c r="K494" s="3"/>
      <c r="L494" s="3"/>
      <c r="M494" s="3"/>
      <c r="N494" s="3"/>
      <c r="O494" s="3"/>
      <c r="P494" s="3"/>
      <c r="Q494" s="3"/>
      <c r="R494" s="3"/>
      <c r="S494" s="3"/>
      <c r="T494" s="3"/>
      <c r="U494" s="3"/>
      <c r="V494" s="3"/>
      <c r="W494" s="3"/>
    </row>
    <row r="495" spans="1:23" x14ac:dyDescent="0.35">
      <c r="A495" s="3"/>
      <c r="B495" s="3"/>
      <c r="C495" s="3"/>
      <c r="D495" s="3"/>
      <c r="E495" s="3"/>
      <c r="F495" s="3"/>
      <c r="G495" s="3"/>
      <c r="H495" s="3"/>
      <c r="I495" s="3"/>
      <c r="J495" s="3"/>
      <c r="K495" s="3"/>
      <c r="L495" s="3"/>
      <c r="M495" s="3"/>
      <c r="N495" s="3"/>
      <c r="O495" s="3"/>
      <c r="P495" s="3"/>
      <c r="Q495" s="3"/>
      <c r="R495" s="3"/>
      <c r="S495" s="3"/>
      <c r="T495" s="3"/>
      <c r="U495" s="3"/>
      <c r="V495" s="3"/>
      <c r="W495" s="3"/>
    </row>
    <row r="496" spans="1:23" x14ac:dyDescent="0.35">
      <c r="A496" s="3"/>
      <c r="B496" s="3"/>
      <c r="C496" s="3"/>
      <c r="D496" s="3"/>
      <c r="E496" s="3"/>
      <c r="F496" s="3"/>
      <c r="G496" s="3"/>
      <c r="H496" s="3"/>
      <c r="I496" s="3"/>
      <c r="J496" s="3"/>
      <c r="K496" s="3"/>
      <c r="L496" s="3"/>
      <c r="M496" s="3"/>
      <c r="N496" s="3"/>
      <c r="O496" s="3"/>
      <c r="P496" s="3"/>
      <c r="Q496" s="3"/>
      <c r="R496" s="3"/>
      <c r="S496" s="3"/>
      <c r="T496" s="3"/>
      <c r="U496" s="3"/>
      <c r="V496" s="3"/>
      <c r="W496" s="3"/>
    </row>
    <row r="497" spans="1:23" x14ac:dyDescent="0.35">
      <c r="A497" s="3"/>
      <c r="B497" s="3"/>
      <c r="C497" s="3"/>
      <c r="D497" s="3"/>
      <c r="E497" s="3"/>
      <c r="F497" s="3"/>
      <c r="G497" s="3"/>
      <c r="H497" s="3"/>
      <c r="I497" s="3"/>
      <c r="J497" s="3"/>
      <c r="K497" s="3"/>
      <c r="L497" s="3"/>
      <c r="M497" s="3"/>
      <c r="N497" s="3"/>
      <c r="O497" s="3"/>
      <c r="P497" s="3"/>
      <c r="Q497" s="3"/>
      <c r="R497" s="3"/>
      <c r="S497" s="3"/>
      <c r="T497" s="3"/>
      <c r="U497" s="3"/>
      <c r="V497" s="3"/>
      <c r="W497" s="3"/>
    </row>
    <row r="498" spans="1:23" x14ac:dyDescent="0.35">
      <c r="A498" s="3"/>
      <c r="B498" s="3"/>
      <c r="C498" s="3"/>
      <c r="D498" s="3"/>
      <c r="E498" s="3"/>
      <c r="F498" s="3"/>
      <c r="G498" s="3"/>
      <c r="H498" s="3"/>
      <c r="I498" s="3"/>
      <c r="J498" s="3"/>
      <c r="K498" s="3"/>
      <c r="L498" s="3"/>
      <c r="M498" s="3"/>
      <c r="N498" s="3"/>
      <c r="O498" s="3"/>
      <c r="P498" s="3"/>
      <c r="Q498" s="3"/>
      <c r="R498" s="3"/>
      <c r="S498" s="3"/>
      <c r="T498" s="3"/>
      <c r="U498" s="3"/>
      <c r="V498" s="3"/>
      <c r="W498" s="3"/>
    </row>
    <row r="499" spans="1:23" x14ac:dyDescent="0.35">
      <c r="A499" s="3"/>
      <c r="B499" s="3"/>
      <c r="C499" s="3"/>
      <c r="D499" s="3"/>
      <c r="E499" s="3"/>
      <c r="F499" s="3"/>
      <c r="G499" s="3"/>
      <c r="H499" s="3"/>
      <c r="I499" s="3"/>
      <c r="J499" s="3"/>
      <c r="K499" s="3"/>
      <c r="L499" s="3"/>
      <c r="M499" s="3"/>
      <c r="N499" s="3"/>
      <c r="O499" s="3"/>
      <c r="P499" s="3"/>
      <c r="Q499" s="3"/>
      <c r="R499" s="3"/>
      <c r="S499" s="3"/>
      <c r="T499" s="3"/>
      <c r="U499" s="3"/>
      <c r="V499" s="3"/>
      <c r="W499" s="3"/>
    </row>
    <row r="500" spans="1:23" x14ac:dyDescent="0.35">
      <c r="A500" s="3"/>
      <c r="B500" s="3"/>
      <c r="C500" s="3"/>
      <c r="D500" s="3"/>
      <c r="E500" s="3"/>
      <c r="F500" s="3"/>
      <c r="G500" s="3"/>
      <c r="H500" s="3"/>
      <c r="I500" s="3"/>
      <c r="J500" s="3"/>
      <c r="K500" s="3"/>
      <c r="L500" s="3"/>
      <c r="M500" s="3"/>
      <c r="N500" s="3"/>
      <c r="O500" s="3"/>
      <c r="P500" s="3"/>
      <c r="Q500" s="3"/>
      <c r="R500" s="3"/>
      <c r="S500" s="3"/>
      <c r="T500" s="3"/>
      <c r="U500" s="3"/>
      <c r="V500" s="3"/>
      <c r="W500" s="3"/>
    </row>
    <row r="501" spans="1:23" x14ac:dyDescent="0.35">
      <c r="A501" s="3"/>
      <c r="B501" s="3"/>
      <c r="C501" s="3"/>
      <c r="D501" s="3"/>
      <c r="E501" s="3"/>
      <c r="F501" s="3"/>
      <c r="G501" s="3"/>
      <c r="H501" s="3"/>
      <c r="I501" s="3"/>
      <c r="J501" s="3"/>
      <c r="K501" s="3"/>
      <c r="L501" s="3"/>
      <c r="M501" s="3"/>
      <c r="N501" s="3"/>
      <c r="O501" s="3"/>
      <c r="P501" s="3"/>
      <c r="Q501" s="3"/>
      <c r="R501" s="3"/>
      <c r="S501" s="3"/>
      <c r="T501" s="3"/>
      <c r="U501" s="3"/>
      <c r="V501" s="3"/>
      <c r="W501" s="3"/>
    </row>
    <row r="502" spans="1:23" x14ac:dyDescent="0.35">
      <c r="A502" s="3"/>
      <c r="B502" s="3"/>
      <c r="C502" s="3"/>
      <c r="D502" s="3"/>
      <c r="E502" s="3"/>
      <c r="F502" s="3"/>
      <c r="G502" s="3"/>
      <c r="H502" s="3"/>
      <c r="I502" s="3"/>
      <c r="J502" s="3"/>
      <c r="K502" s="3"/>
      <c r="L502" s="3"/>
      <c r="M502" s="3"/>
      <c r="N502" s="3"/>
      <c r="O502" s="3"/>
      <c r="P502" s="3"/>
      <c r="Q502" s="3"/>
      <c r="R502" s="3"/>
      <c r="S502" s="3"/>
      <c r="T502" s="3"/>
      <c r="U502" s="3"/>
      <c r="V502" s="3"/>
      <c r="W502" s="3"/>
    </row>
    <row r="503" spans="1:23" x14ac:dyDescent="0.35">
      <c r="A503" s="3"/>
      <c r="B503" s="3"/>
      <c r="C503" s="3"/>
      <c r="D503" s="3"/>
      <c r="E503" s="3"/>
      <c r="F503" s="3"/>
      <c r="G503" s="3"/>
      <c r="H503" s="3"/>
      <c r="I503" s="3"/>
      <c r="J503" s="3"/>
      <c r="K503" s="3"/>
      <c r="L503" s="3"/>
      <c r="M503" s="3"/>
      <c r="N503" s="3"/>
      <c r="O503" s="3"/>
      <c r="P503" s="3"/>
      <c r="Q503" s="3"/>
      <c r="R503" s="3"/>
      <c r="S503" s="3"/>
      <c r="T503" s="3"/>
      <c r="U503" s="3"/>
      <c r="V503" s="3"/>
      <c r="W503" s="3"/>
    </row>
    <row r="504" spans="1:23" x14ac:dyDescent="0.35">
      <c r="A504" s="3"/>
      <c r="B504" s="3"/>
      <c r="C504" s="3"/>
      <c r="D504" s="3"/>
      <c r="E504" s="3"/>
      <c r="F504" s="3"/>
      <c r="G504" s="3"/>
      <c r="H504" s="3"/>
      <c r="I504" s="3"/>
      <c r="J504" s="3"/>
      <c r="K504" s="3"/>
      <c r="L504" s="3"/>
      <c r="M504" s="3"/>
      <c r="N504" s="3"/>
      <c r="O504" s="3"/>
      <c r="P504" s="3"/>
      <c r="Q504" s="3"/>
      <c r="R504" s="3"/>
      <c r="S504" s="3"/>
      <c r="T504" s="3"/>
      <c r="U504" s="3"/>
      <c r="V504" s="3"/>
      <c r="W504" s="3"/>
    </row>
    <row r="505" spans="1:23" x14ac:dyDescent="0.35">
      <c r="A505" s="3"/>
      <c r="B505" s="3"/>
      <c r="C505" s="3"/>
      <c r="D505" s="3"/>
      <c r="E505" s="3"/>
      <c r="F505" s="3"/>
      <c r="G505" s="3"/>
      <c r="H505" s="3"/>
      <c r="I505" s="3"/>
      <c r="J505" s="3"/>
      <c r="K505" s="3"/>
      <c r="L505" s="3"/>
      <c r="M505" s="3"/>
      <c r="N505" s="3"/>
      <c r="O505" s="3"/>
      <c r="P505" s="3"/>
      <c r="Q505" s="3"/>
      <c r="R505" s="3"/>
      <c r="S505" s="3"/>
      <c r="T505" s="3"/>
      <c r="U505" s="3"/>
      <c r="V505" s="3"/>
      <c r="W505" s="3"/>
    </row>
    <row r="506" spans="1:23" x14ac:dyDescent="0.35">
      <c r="A506" s="3"/>
      <c r="B506" s="3"/>
      <c r="C506" s="3"/>
      <c r="D506" s="3"/>
      <c r="E506" s="3"/>
      <c r="F506" s="3"/>
      <c r="G506" s="3"/>
      <c r="H506" s="3"/>
      <c r="I506" s="3"/>
      <c r="J506" s="3"/>
      <c r="K506" s="3"/>
      <c r="L506" s="3"/>
      <c r="M506" s="3"/>
      <c r="N506" s="3"/>
      <c r="O506" s="3"/>
      <c r="P506" s="3"/>
      <c r="Q506" s="3"/>
      <c r="R506" s="3"/>
      <c r="S506" s="3"/>
      <c r="T506" s="3"/>
      <c r="U506" s="3"/>
      <c r="V506" s="3"/>
      <c r="W506" s="3"/>
    </row>
    <row r="507" spans="1:23" x14ac:dyDescent="0.35">
      <c r="A507" s="3"/>
      <c r="B507" s="3"/>
      <c r="C507" s="3"/>
      <c r="D507" s="3"/>
      <c r="E507" s="3"/>
      <c r="F507" s="3"/>
      <c r="G507" s="3"/>
      <c r="H507" s="3"/>
      <c r="I507" s="3"/>
      <c r="J507" s="3"/>
      <c r="K507" s="3"/>
      <c r="L507" s="3"/>
      <c r="M507" s="3"/>
      <c r="N507" s="3"/>
      <c r="O507" s="3"/>
      <c r="P507" s="3"/>
      <c r="Q507" s="3"/>
      <c r="R507" s="3"/>
      <c r="S507" s="3"/>
      <c r="T507" s="3"/>
      <c r="U507" s="3"/>
      <c r="V507" s="3"/>
      <c r="W507" s="3"/>
    </row>
    <row r="508" spans="1:23" x14ac:dyDescent="0.35">
      <c r="A508" s="3"/>
      <c r="B508" s="3"/>
      <c r="C508" s="3"/>
      <c r="D508" s="3"/>
      <c r="E508" s="3"/>
      <c r="F508" s="3"/>
      <c r="G508" s="3"/>
      <c r="H508" s="3"/>
      <c r="I508" s="3"/>
      <c r="J508" s="3"/>
      <c r="K508" s="3"/>
      <c r="L508" s="3"/>
      <c r="M508" s="3"/>
      <c r="N508" s="3"/>
      <c r="O508" s="3"/>
      <c r="P508" s="3"/>
      <c r="Q508" s="3"/>
      <c r="R508" s="3"/>
      <c r="S508" s="3"/>
      <c r="T508" s="3"/>
      <c r="U508" s="3"/>
      <c r="V508" s="3"/>
      <c r="W508" s="3"/>
    </row>
    <row r="509" spans="1:23" x14ac:dyDescent="0.35">
      <c r="A509" s="3"/>
      <c r="B509" s="3"/>
      <c r="C509" s="3"/>
      <c r="D509" s="3"/>
      <c r="E509" s="3"/>
      <c r="F509" s="3"/>
      <c r="G509" s="3"/>
      <c r="H509" s="3"/>
      <c r="I509" s="3"/>
      <c r="J509" s="3"/>
      <c r="K509" s="3"/>
      <c r="L509" s="3"/>
      <c r="M509" s="3"/>
      <c r="N509" s="3"/>
      <c r="O509" s="3"/>
      <c r="P509" s="3"/>
      <c r="Q509" s="3"/>
      <c r="R509" s="3"/>
      <c r="S509" s="3"/>
      <c r="T509" s="3"/>
      <c r="U509" s="3"/>
      <c r="V509" s="3"/>
      <c r="W509" s="3"/>
    </row>
    <row r="510" spans="1:23" x14ac:dyDescent="0.35">
      <c r="A510" s="3"/>
      <c r="B510" s="3"/>
      <c r="C510" s="3"/>
      <c r="D510" s="3"/>
      <c r="E510" s="3"/>
      <c r="F510" s="3"/>
      <c r="G510" s="3"/>
      <c r="H510" s="3"/>
      <c r="I510" s="3"/>
      <c r="J510" s="3"/>
      <c r="K510" s="3"/>
      <c r="L510" s="3"/>
      <c r="M510" s="3"/>
      <c r="N510" s="3"/>
      <c r="O510" s="3"/>
      <c r="P510" s="3"/>
      <c r="Q510" s="3"/>
      <c r="R510" s="3"/>
      <c r="S510" s="3"/>
      <c r="T510" s="3"/>
      <c r="U510" s="3"/>
      <c r="V510" s="3"/>
      <c r="W510" s="3"/>
    </row>
    <row r="511" spans="1:23" x14ac:dyDescent="0.35">
      <c r="A511" s="3"/>
      <c r="B511" s="3"/>
      <c r="C511" s="3"/>
      <c r="D511" s="3"/>
      <c r="E511" s="3"/>
      <c r="F511" s="3"/>
      <c r="G511" s="3"/>
      <c r="H511" s="3"/>
      <c r="I511" s="3"/>
      <c r="J511" s="3"/>
      <c r="K511" s="3"/>
      <c r="L511" s="3"/>
      <c r="M511" s="3"/>
      <c r="N511" s="3"/>
      <c r="O511" s="3"/>
      <c r="P511" s="3"/>
      <c r="Q511" s="3"/>
      <c r="R511" s="3"/>
      <c r="S511" s="3"/>
      <c r="T511" s="3"/>
      <c r="U511" s="3"/>
      <c r="V511" s="3"/>
      <c r="W511" s="3"/>
    </row>
    <row r="512" spans="1:23" x14ac:dyDescent="0.35">
      <c r="A512" s="3"/>
      <c r="B512" s="3"/>
      <c r="C512" s="3"/>
      <c r="D512" s="3"/>
      <c r="E512" s="3"/>
      <c r="F512" s="3"/>
      <c r="G512" s="3"/>
      <c r="H512" s="3"/>
      <c r="I512" s="3"/>
      <c r="J512" s="3"/>
      <c r="K512" s="3"/>
      <c r="L512" s="3"/>
      <c r="M512" s="3"/>
      <c r="N512" s="3"/>
      <c r="O512" s="3"/>
      <c r="P512" s="3"/>
      <c r="Q512" s="3"/>
      <c r="R512" s="3"/>
      <c r="S512" s="3"/>
      <c r="T512" s="3"/>
      <c r="U512" s="3"/>
      <c r="V512" s="3"/>
      <c r="W512" s="3"/>
    </row>
    <row r="513" spans="1:23" x14ac:dyDescent="0.35">
      <c r="A513" s="3"/>
      <c r="B513" s="3"/>
      <c r="C513" s="3"/>
      <c r="D513" s="3"/>
      <c r="E513" s="3"/>
      <c r="F513" s="3"/>
      <c r="G513" s="3"/>
      <c r="H513" s="3"/>
      <c r="I513" s="3"/>
      <c r="J513" s="3"/>
      <c r="K513" s="3"/>
      <c r="L513" s="3"/>
      <c r="M513" s="3"/>
      <c r="N513" s="3"/>
      <c r="O513" s="3"/>
      <c r="P513" s="3"/>
      <c r="Q513" s="3"/>
      <c r="R513" s="3"/>
      <c r="S513" s="3"/>
      <c r="T513" s="3"/>
      <c r="U513" s="3"/>
      <c r="V513" s="3"/>
      <c r="W513" s="3"/>
    </row>
    <row r="514" spans="1:23" x14ac:dyDescent="0.35">
      <c r="A514" s="3"/>
      <c r="B514" s="3"/>
      <c r="C514" s="3"/>
      <c r="D514" s="3"/>
      <c r="E514" s="3"/>
      <c r="F514" s="3"/>
      <c r="G514" s="3"/>
      <c r="H514" s="3"/>
      <c r="I514" s="3"/>
      <c r="J514" s="3"/>
      <c r="K514" s="3"/>
      <c r="L514" s="3"/>
      <c r="M514" s="3"/>
      <c r="N514" s="3"/>
      <c r="O514" s="3"/>
      <c r="P514" s="3"/>
      <c r="Q514" s="3"/>
      <c r="R514" s="3"/>
      <c r="S514" s="3"/>
      <c r="T514" s="3"/>
      <c r="U514" s="3"/>
      <c r="V514" s="3"/>
      <c r="W514" s="3"/>
    </row>
    <row r="515" spans="1:23" x14ac:dyDescent="0.35">
      <c r="A515" s="3"/>
      <c r="B515" s="3"/>
      <c r="C515" s="3"/>
      <c r="D515" s="3"/>
      <c r="E515" s="3"/>
      <c r="F515" s="3"/>
      <c r="G515" s="3"/>
      <c r="H515" s="3"/>
      <c r="I515" s="3"/>
      <c r="J515" s="3"/>
      <c r="K515" s="3"/>
      <c r="L515" s="3"/>
      <c r="M515" s="3"/>
      <c r="N515" s="3"/>
      <c r="O515" s="3"/>
      <c r="P515" s="3"/>
      <c r="Q515" s="3"/>
      <c r="R515" s="3"/>
      <c r="S515" s="3"/>
      <c r="T515" s="3"/>
      <c r="U515" s="3"/>
      <c r="V515" s="3"/>
      <c r="W515" s="3"/>
    </row>
    <row r="516" spans="1:23" x14ac:dyDescent="0.35">
      <c r="A516" s="3"/>
      <c r="B516" s="3"/>
      <c r="C516" s="3"/>
      <c r="D516" s="3"/>
      <c r="E516" s="3"/>
      <c r="F516" s="3"/>
      <c r="G516" s="3"/>
      <c r="H516" s="3"/>
      <c r="I516" s="3"/>
      <c r="J516" s="3"/>
      <c r="K516" s="3"/>
      <c r="L516" s="3"/>
      <c r="M516" s="3"/>
      <c r="N516" s="3"/>
      <c r="O516" s="3"/>
      <c r="P516" s="3"/>
      <c r="Q516" s="3"/>
      <c r="R516" s="3"/>
      <c r="S516" s="3"/>
      <c r="T516" s="3"/>
      <c r="U516" s="3"/>
      <c r="V516" s="3"/>
      <c r="W516" s="3"/>
    </row>
    <row r="517" spans="1:23" x14ac:dyDescent="0.35">
      <c r="A517" s="3"/>
      <c r="B517" s="3"/>
      <c r="C517" s="3"/>
      <c r="D517" s="3"/>
      <c r="E517" s="3"/>
      <c r="F517" s="3"/>
      <c r="G517" s="3"/>
      <c r="H517" s="3"/>
      <c r="I517" s="3"/>
      <c r="J517" s="3"/>
      <c r="K517" s="3"/>
      <c r="L517" s="3"/>
      <c r="M517" s="3"/>
      <c r="N517" s="3"/>
      <c r="O517" s="3"/>
      <c r="P517" s="3"/>
      <c r="Q517" s="3"/>
      <c r="R517" s="3"/>
      <c r="S517" s="3"/>
      <c r="T517" s="3"/>
      <c r="U517" s="3"/>
      <c r="V517" s="3"/>
      <c r="W517" s="3"/>
    </row>
    <row r="518" spans="1:23" x14ac:dyDescent="0.35">
      <c r="A518" s="3"/>
      <c r="B518" s="3"/>
      <c r="C518" s="3"/>
      <c r="D518" s="3"/>
      <c r="E518" s="3"/>
      <c r="F518" s="3"/>
      <c r="G518" s="3"/>
      <c r="H518" s="3"/>
      <c r="I518" s="3"/>
      <c r="J518" s="3"/>
      <c r="K518" s="3"/>
      <c r="L518" s="3"/>
      <c r="M518" s="3"/>
      <c r="N518" s="3"/>
      <c r="O518" s="3"/>
      <c r="P518" s="3"/>
      <c r="Q518" s="3"/>
      <c r="R518" s="3"/>
      <c r="S518" s="3"/>
      <c r="T518" s="3"/>
      <c r="U518" s="3"/>
      <c r="V518" s="3"/>
      <c r="W518" s="3"/>
    </row>
    <row r="519" spans="1:23" x14ac:dyDescent="0.35">
      <c r="A519" s="3"/>
      <c r="B519" s="3"/>
      <c r="C519" s="3"/>
      <c r="D519" s="3"/>
      <c r="E519" s="3"/>
      <c r="F519" s="3"/>
      <c r="G519" s="3"/>
      <c r="H519" s="3"/>
      <c r="I519" s="3"/>
      <c r="J519" s="3"/>
      <c r="K519" s="3"/>
      <c r="L519" s="3"/>
      <c r="M519" s="3"/>
      <c r="N519" s="3"/>
      <c r="O519" s="3"/>
      <c r="P519" s="3"/>
      <c r="Q519" s="3"/>
      <c r="R519" s="3"/>
      <c r="S519" s="3"/>
      <c r="T519" s="3"/>
      <c r="U519" s="3"/>
      <c r="V519" s="3"/>
      <c r="W519" s="3"/>
    </row>
    <row r="520" spans="1:23" x14ac:dyDescent="0.35">
      <c r="A520" s="3"/>
      <c r="B520" s="3"/>
      <c r="C520" s="3"/>
      <c r="D520" s="3"/>
      <c r="E520" s="3"/>
      <c r="F520" s="3"/>
      <c r="G520" s="3"/>
      <c r="H520" s="3"/>
      <c r="I520" s="3"/>
      <c r="J520" s="3"/>
      <c r="K520" s="3"/>
      <c r="L520" s="3"/>
      <c r="M520" s="3"/>
      <c r="N520" s="3"/>
      <c r="O520" s="3"/>
      <c r="P520" s="3"/>
      <c r="Q520" s="3"/>
      <c r="R520" s="3"/>
      <c r="S520" s="3"/>
      <c r="T520" s="3"/>
      <c r="U520" s="3"/>
      <c r="V520" s="3"/>
      <c r="W520" s="3"/>
    </row>
    <row r="521" spans="1:23" x14ac:dyDescent="0.35">
      <c r="A521" s="3"/>
      <c r="B521" s="3"/>
      <c r="C521" s="3"/>
      <c r="D521" s="3"/>
      <c r="E521" s="3"/>
      <c r="F521" s="3"/>
      <c r="G521" s="3"/>
      <c r="H521" s="3"/>
      <c r="I521" s="3"/>
      <c r="J521" s="3"/>
      <c r="K521" s="3"/>
      <c r="L521" s="3"/>
      <c r="M521" s="3"/>
      <c r="N521" s="3"/>
      <c r="O521" s="3"/>
      <c r="P521" s="3"/>
      <c r="Q521" s="3"/>
      <c r="R521" s="3"/>
      <c r="S521" s="3"/>
      <c r="T521" s="3"/>
      <c r="U521" s="3"/>
      <c r="V521" s="3"/>
      <c r="W521" s="3"/>
    </row>
    <row r="522" spans="1:23" x14ac:dyDescent="0.35">
      <c r="A522" s="3"/>
      <c r="B522" s="3"/>
      <c r="C522" s="3"/>
      <c r="D522" s="3"/>
      <c r="E522" s="3"/>
      <c r="F522" s="3"/>
      <c r="G522" s="3"/>
      <c r="H522" s="3"/>
      <c r="I522" s="3"/>
      <c r="J522" s="3"/>
      <c r="K522" s="3"/>
      <c r="L522" s="3"/>
      <c r="M522" s="3"/>
      <c r="N522" s="3"/>
      <c r="O522" s="3"/>
      <c r="P522" s="3"/>
      <c r="Q522" s="3"/>
      <c r="R522" s="3"/>
      <c r="S522" s="3"/>
      <c r="T522" s="3"/>
      <c r="U522" s="3"/>
      <c r="V522" s="3"/>
      <c r="W522" s="3"/>
    </row>
    <row r="523" spans="1:23" x14ac:dyDescent="0.35">
      <c r="A523" s="3"/>
      <c r="B523" s="3"/>
      <c r="C523" s="3"/>
      <c r="D523" s="3"/>
      <c r="E523" s="3"/>
      <c r="F523" s="3"/>
      <c r="G523" s="3"/>
      <c r="H523" s="3"/>
      <c r="I523" s="3"/>
      <c r="J523" s="3"/>
      <c r="K523" s="3"/>
      <c r="L523" s="3"/>
      <c r="M523" s="3"/>
      <c r="N523" s="3"/>
      <c r="O523" s="3"/>
      <c r="P523" s="3"/>
      <c r="Q523" s="3"/>
      <c r="R523" s="3"/>
      <c r="S523" s="3"/>
      <c r="T523" s="3"/>
      <c r="U523" s="3"/>
      <c r="V523" s="3"/>
      <c r="W523" s="3"/>
    </row>
    <row r="524" spans="1:23" x14ac:dyDescent="0.35">
      <c r="A524" s="3"/>
      <c r="B524" s="3"/>
      <c r="C524" s="3"/>
      <c r="D524" s="3"/>
      <c r="E524" s="3"/>
      <c r="F524" s="3"/>
      <c r="G524" s="3"/>
      <c r="H524" s="3"/>
      <c r="I524" s="3"/>
      <c r="J524" s="3"/>
      <c r="K524" s="3"/>
      <c r="L524" s="3"/>
      <c r="M524" s="3"/>
      <c r="N524" s="3"/>
      <c r="O524" s="3"/>
      <c r="P524" s="3"/>
      <c r="Q524" s="3"/>
      <c r="R524" s="3"/>
      <c r="S524" s="3"/>
      <c r="T524" s="3"/>
      <c r="U524" s="3"/>
      <c r="V524" s="3"/>
      <c r="W524" s="3"/>
    </row>
    <row r="525" spans="1:23" x14ac:dyDescent="0.35">
      <c r="A525" s="3"/>
      <c r="B525" s="3"/>
      <c r="C525" s="3"/>
      <c r="D525" s="3"/>
      <c r="E525" s="3"/>
      <c r="F525" s="3"/>
      <c r="G525" s="3"/>
      <c r="H525" s="3"/>
      <c r="I525" s="3"/>
      <c r="J525" s="3"/>
      <c r="K525" s="3"/>
      <c r="L525" s="3"/>
      <c r="M525" s="3"/>
      <c r="N525" s="3"/>
      <c r="O525" s="3"/>
      <c r="P525" s="3"/>
      <c r="Q525" s="3"/>
      <c r="R525" s="3"/>
      <c r="S525" s="3"/>
      <c r="T525" s="3"/>
      <c r="U525" s="3"/>
      <c r="V525" s="3"/>
      <c r="W525" s="3"/>
    </row>
    <row r="526" spans="1:23" x14ac:dyDescent="0.35">
      <c r="A526" s="3"/>
      <c r="B526" s="3"/>
      <c r="C526" s="3"/>
      <c r="D526" s="3"/>
      <c r="E526" s="3"/>
      <c r="F526" s="3"/>
      <c r="G526" s="3"/>
      <c r="H526" s="3"/>
      <c r="I526" s="3"/>
      <c r="J526" s="3"/>
      <c r="K526" s="3"/>
      <c r="L526" s="3"/>
      <c r="M526" s="3"/>
      <c r="N526" s="3"/>
      <c r="O526" s="3"/>
      <c r="P526" s="3"/>
      <c r="Q526" s="3"/>
      <c r="R526" s="3"/>
      <c r="S526" s="3"/>
      <c r="T526" s="3"/>
      <c r="U526" s="3"/>
      <c r="V526" s="3"/>
      <c r="W526" s="3"/>
    </row>
    <row r="527" spans="1:23" x14ac:dyDescent="0.35">
      <c r="A527" s="3"/>
      <c r="B527" s="3"/>
      <c r="C527" s="3"/>
      <c r="D527" s="3"/>
      <c r="E527" s="3"/>
      <c r="F527" s="3"/>
      <c r="G527" s="3"/>
      <c r="H527" s="3"/>
      <c r="I527" s="3"/>
      <c r="J527" s="3"/>
      <c r="K527" s="3"/>
      <c r="L527" s="3"/>
      <c r="M527" s="3"/>
      <c r="N527" s="3"/>
      <c r="O527" s="3"/>
      <c r="P527" s="3"/>
      <c r="Q527" s="3"/>
      <c r="R527" s="3"/>
      <c r="S527" s="3"/>
      <c r="T527" s="3"/>
      <c r="U527" s="3"/>
      <c r="V527" s="3"/>
      <c r="W527" s="3"/>
    </row>
    <row r="528" spans="1:23" x14ac:dyDescent="0.35">
      <c r="A528" s="3"/>
      <c r="B528" s="3"/>
      <c r="C528" s="3"/>
      <c r="D528" s="3"/>
      <c r="E528" s="3"/>
      <c r="F528" s="3"/>
      <c r="G528" s="3"/>
      <c r="H528" s="3"/>
      <c r="I528" s="3"/>
      <c r="J528" s="3"/>
      <c r="K528" s="3"/>
      <c r="L528" s="3"/>
      <c r="M528" s="3"/>
      <c r="N528" s="3"/>
      <c r="O528" s="3"/>
      <c r="P528" s="3"/>
      <c r="Q528" s="3"/>
      <c r="R528" s="3"/>
      <c r="S528" s="3"/>
      <c r="T528" s="3"/>
      <c r="U528" s="3"/>
      <c r="V528" s="3"/>
      <c r="W528" s="3"/>
    </row>
    <row r="529" spans="1:23" x14ac:dyDescent="0.35">
      <c r="A529" s="3"/>
      <c r="B529" s="3"/>
      <c r="C529" s="3"/>
      <c r="D529" s="3"/>
      <c r="E529" s="3"/>
      <c r="F529" s="3"/>
      <c r="G529" s="3"/>
      <c r="H529" s="3"/>
      <c r="I529" s="3"/>
      <c r="J529" s="3"/>
      <c r="K529" s="3"/>
      <c r="L529" s="3"/>
      <c r="M529" s="3"/>
      <c r="N529" s="3"/>
      <c r="O529" s="3"/>
      <c r="P529" s="3"/>
      <c r="Q529" s="3"/>
      <c r="R529" s="3"/>
      <c r="S529" s="3"/>
      <c r="T529" s="3"/>
      <c r="U529" s="3"/>
      <c r="V529" s="3"/>
      <c r="W529" s="3"/>
    </row>
    <row r="530" spans="1:23" x14ac:dyDescent="0.35">
      <c r="A530" s="3"/>
      <c r="B530" s="3"/>
      <c r="C530" s="3"/>
      <c r="D530" s="3"/>
      <c r="E530" s="3"/>
      <c r="F530" s="3"/>
      <c r="G530" s="3"/>
      <c r="H530" s="3"/>
      <c r="I530" s="3"/>
      <c r="J530" s="3"/>
      <c r="K530" s="3"/>
      <c r="L530" s="3"/>
      <c r="M530" s="3"/>
      <c r="N530" s="3"/>
      <c r="O530" s="3"/>
      <c r="P530" s="3"/>
      <c r="Q530" s="3"/>
      <c r="R530" s="3"/>
      <c r="S530" s="3"/>
      <c r="T530" s="3"/>
      <c r="U530" s="3"/>
      <c r="V530" s="3"/>
      <c r="W530" s="3"/>
    </row>
    <row r="531" spans="1:23" x14ac:dyDescent="0.35">
      <c r="A531" s="3"/>
      <c r="B531" s="3"/>
      <c r="C531" s="3"/>
      <c r="D531" s="3"/>
      <c r="E531" s="3"/>
      <c r="F531" s="3"/>
      <c r="G531" s="3"/>
      <c r="H531" s="3"/>
      <c r="I531" s="3"/>
      <c r="J531" s="3"/>
      <c r="K531" s="3"/>
      <c r="L531" s="3"/>
      <c r="M531" s="3"/>
      <c r="N531" s="3"/>
      <c r="O531" s="3"/>
      <c r="P531" s="3"/>
      <c r="Q531" s="3"/>
      <c r="R531" s="3"/>
      <c r="S531" s="3"/>
      <c r="T531" s="3"/>
      <c r="U531" s="3"/>
      <c r="V531" s="3"/>
      <c r="W531" s="3"/>
    </row>
    <row r="532" spans="1:23" x14ac:dyDescent="0.35">
      <c r="A532" s="3"/>
      <c r="B532" s="3"/>
      <c r="C532" s="3"/>
      <c r="D532" s="3"/>
      <c r="E532" s="3"/>
      <c r="F532" s="3"/>
      <c r="G532" s="3"/>
      <c r="H532" s="3"/>
      <c r="I532" s="3"/>
      <c r="J532" s="3"/>
      <c r="K532" s="3"/>
      <c r="L532" s="3"/>
      <c r="M532" s="3"/>
      <c r="N532" s="3"/>
      <c r="O532" s="3"/>
      <c r="P532" s="3"/>
      <c r="Q532" s="3"/>
      <c r="R532" s="3"/>
      <c r="S532" s="3"/>
      <c r="T532" s="3"/>
      <c r="U532" s="3"/>
      <c r="V532" s="3"/>
      <c r="W532" s="3"/>
    </row>
    <row r="533" spans="1:23" x14ac:dyDescent="0.35">
      <c r="A533" s="3"/>
      <c r="B533" s="3"/>
      <c r="C533" s="3"/>
      <c r="D533" s="3"/>
      <c r="E533" s="3"/>
      <c r="F533" s="3"/>
      <c r="G533" s="3"/>
      <c r="H533" s="3"/>
      <c r="I533" s="3"/>
      <c r="J533" s="3"/>
      <c r="K533" s="3"/>
      <c r="L533" s="3"/>
      <c r="M533" s="3"/>
      <c r="N533" s="3"/>
      <c r="O533" s="3"/>
      <c r="P533" s="3"/>
      <c r="Q533" s="3"/>
      <c r="R533" s="3"/>
      <c r="S533" s="3"/>
      <c r="T533" s="3"/>
      <c r="U533" s="3"/>
      <c r="V533" s="3"/>
      <c r="W533" s="3"/>
    </row>
    <row r="534" spans="1:23" x14ac:dyDescent="0.35">
      <c r="A534" s="3"/>
      <c r="B534" s="3"/>
      <c r="C534" s="3"/>
      <c r="D534" s="3"/>
      <c r="E534" s="3"/>
      <c r="F534" s="3"/>
      <c r="G534" s="3"/>
      <c r="H534" s="3"/>
      <c r="I534" s="3"/>
      <c r="J534" s="3"/>
      <c r="K534" s="3"/>
      <c r="L534" s="3"/>
      <c r="M534" s="3"/>
      <c r="N534" s="3"/>
      <c r="O534" s="3"/>
      <c r="P534" s="3"/>
      <c r="Q534" s="3"/>
      <c r="R534" s="3"/>
      <c r="S534" s="3"/>
      <c r="T534" s="3"/>
      <c r="U534" s="3"/>
      <c r="V534" s="3"/>
      <c r="W534" s="3"/>
    </row>
    <row r="535" spans="1:23" x14ac:dyDescent="0.35">
      <c r="A535" s="3"/>
      <c r="B535" s="3"/>
      <c r="C535" s="3"/>
      <c r="D535" s="3"/>
      <c r="E535" s="3"/>
      <c r="F535" s="3"/>
      <c r="G535" s="3"/>
      <c r="H535" s="3"/>
      <c r="I535" s="3"/>
      <c r="J535" s="3"/>
      <c r="K535" s="3"/>
      <c r="L535" s="3"/>
      <c r="M535" s="3"/>
      <c r="N535" s="3"/>
      <c r="O535" s="3"/>
      <c r="P535" s="3"/>
      <c r="Q535" s="3"/>
      <c r="R535" s="3"/>
      <c r="S535" s="3"/>
      <c r="T535" s="3"/>
      <c r="U535" s="3"/>
      <c r="V535" s="3"/>
      <c r="W535" s="3"/>
    </row>
    <row r="536" spans="1:23" x14ac:dyDescent="0.35">
      <c r="A536" s="3"/>
      <c r="B536" s="3"/>
      <c r="C536" s="3"/>
      <c r="D536" s="3"/>
      <c r="E536" s="3"/>
      <c r="F536" s="3"/>
      <c r="G536" s="3"/>
      <c r="H536" s="3"/>
      <c r="I536" s="3"/>
      <c r="J536" s="3"/>
      <c r="K536" s="3"/>
      <c r="L536" s="3"/>
      <c r="M536" s="3"/>
      <c r="N536" s="3"/>
      <c r="O536" s="3"/>
      <c r="P536" s="3"/>
      <c r="Q536" s="3"/>
      <c r="R536" s="3"/>
      <c r="S536" s="3"/>
      <c r="T536" s="3"/>
      <c r="U536" s="3"/>
      <c r="V536" s="3"/>
      <c r="W536" s="3"/>
    </row>
    <row r="537" spans="1:23" x14ac:dyDescent="0.35">
      <c r="A537" s="3"/>
      <c r="B537" s="3"/>
      <c r="C537" s="3"/>
      <c r="D537" s="3"/>
      <c r="E537" s="3"/>
      <c r="F537" s="3"/>
      <c r="G537" s="3"/>
      <c r="H537" s="3"/>
      <c r="I537" s="3"/>
      <c r="J537" s="3"/>
      <c r="K537" s="3"/>
      <c r="L537" s="3"/>
      <c r="M537" s="3"/>
      <c r="N537" s="3"/>
      <c r="O537" s="3"/>
      <c r="P537" s="3"/>
      <c r="Q537" s="3"/>
      <c r="R537" s="3"/>
      <c r="S537" s="3"/>
      <c r="T537" s="3"/>
      <c r="U537" s="3"/>
      <c r="V537" s="3"/>
      <c r="W537" s="3"/>
    </row>
    <row r="538" spans="1:23" x14ac:dyDescent="0.35">
      <c r="A538" s="3"/>
      <c r="B538" s="3"/>
      <c r="C538" s="3"/>
      <c r="D538" s="3"/>
      <c r="E538" s="3"/>
      <c r="F538" s="3"/>
      <c r="G538" s="3"/>
      <c r="H538" s="3"/>
      <c r="I538" s="3"/>
      <c r="J538" s="3"/>
      <c r="K538" s="3"/>
      <c r="L538" s="3"/>
      <c r="M538" s="3"/>
      <c r="N538" s="3"/>
      <c r="O538" s="3"/>
      <c r="P538" s="3"/>
      <c r="Q538" s="3"/>
      <c r="R538" s="3"/>
      <c r="S538" s="3"/>
      <c r="T538" s="3"/>
      <c r="U538" s="3"/>
      <c r="V538" s="3"/>
      <c r="W538" s="3"/>
    </row>
    <row r="539" spans="1:23" x14ac:dyDescent="0.35">
      <c r="A539" s="3"/>
      <c r="B539" s="3"/>
      <c r="C539" s="3"/>
      <c r="D539" s="3"/>
      <c r="E539" s="3"/>
      <c r="F539" s="3"/>
      <c r="G539" s="3"/>
      <c r="H539" s="3"/>
      <c r="I539" s="3"/>
      <c r="J539" s="3"/>
      <c r="K539" s="3"/>
      <c r="L539" s="3"/>
      <c r="M539" s="3"/>
      <c r="N539" s="3"/>
      <c r="O539" s="3"/>
      <c r="P539" s="3"/>
      <c r="Q539" s="3"/>
      <c r="R539" s="3"/>
      <c r="S539" s="3"/>
      <c r="T539" s="3"/>
      <c r="U539" s="3"/>
      <c r="V539" s="3"/>
      <c r="W539" s="3"/>
    </row>
    <row r="540" spans="1:23" x14ac:dyDescent="0.35">
      <c r="A540" s="3"/>
      <c r="B540" s="3"/>
      <c r="C540" s="3"/>
      <c r="D540" s="3"/>
      <c r="E540" s="3"/>
      <c r="F540" s="3"/>
      <c r="G540" s="3"/>
      <c r="H540" s="3"/>
      <c r="I540" s="3"/>
      <c r="J540" s="3"/>
      <c r="K540" s="3"/>
      <c r="L540" s="3"/>
      <c r="M540" s="3"/>
      <c r="N540" s="3"/>
      <c r="O540" s="3"/>
      <c r="P540" s="3"/>
      <c r="Q540" s="3"/>
      <c r="R540" s="3"/>
      <c r="S540" s="3"/>
      <c r="T540" s="3"/>
      <c r="U540" s="3"/>
      <c r="V540" s="3"/>
      <c r="W540" s="3"/>
    </row>
    <row r="541" spans="1:23" x14ac:dyDescent="0.35">
      <c r="A541" s="3"/>
      <c r="B541" s="3"/>
      <c r="C541" s="3"/>
      <c r="D541" s="3"/>
      <c r="E541" s="3"/>
      <c r="F541" s="3"/>
      <c r="G541" s="3"/>
      <c r="H541" s="3"/>
      <c r="I541" s="3"/>
      <c r="J541" s="3"/>
      <c r="K541" s="3"/>
      <c r="L541" s="3"/>
      <c r="M541" s="3"/>
      <c r="N541" s="3"/>
      <c r="O541" s="3"/>
      <c r="P541" s="3"/>
      <c r="Q541" s="3"/>
      <c r="R541" s="3"/>
      <c r="S541" s="3"/>
      <c r="T541" s="3"/>
      <c r="U541" s="3"/>
      <c r="V541" s="3"/>
      <c r="W541" s="3"/>
    </row>
    <row r="542" spans="1:23" x14ac:dyDescent="0.35">
      <c r="A542" s="3"/>
      <c r="B542" s="3"/>
      <c r="C542" s="3"/>
      <c r="D542" s="3"/>
      <c r="E542" s="3"/>
      <c r="F542" s="3"/>
      <c r="G542" s="3"/>
      <c r="H542" s="3"/>
      <c r="I542" s="3"/>
      <c r="J542" s="3"/>
      <c r="K542" s="3"/>
      <c r="L542" s="3"/>
      <c r="M542" s="3"/>
      <c r="N542" s="3"/>
      <c r="O542" s="3"/>
      <c r="P542" s="3"/>
      <c r="Q542" s="3"/>
      <c r="R542" s="3"/>
      <c r="S542" s="3"/>
      <c r="T542" s="3"/>
      <c r="U542" s="3"/>
      <c r="V542" s="3"/>
      <c r="W542" s="3"/>
    </row>
    <row r="543" spans="1:23" x14ac:dyDescent="0.35">
      <c r="A543" s="3"/>
      <c r="B543" s="3"/>
      <c r="C543" s="3"/>
      <c r="D543" s="3"/>
      <c r="E543" s="3"/>
      <c r="F543" s="3"/>
      <c r="G543" s="3"/>
      <c r="H543" s="3"/>
      <c r="I543" s="3"/>
      <c r="J543" s="3"/>
      <c r="K543" s="3"/>
      <c r="L543" s="3"/>
      <c r="M543" s="3"/>
      <c r="N543" s="3"/>
      <c r="O543" s="3"/>
      <c r="P543" s="3"/>
      <c r="Q543" s="3"/>
      <c r="R543" s="3"/>
      <c r="S543" s="3"/>
      <c r="T543" s="3"/>
      <c r="U543" s="3"/>
      <c r="V543" s="3"/>
      <c r="W543" s="3"/>
    </row>
    <row r="544" spans="1:23" x14ac:dyDescent="0.35">
      <c r="A544" s="3"/>
      <c r="B544" s="3"/>
      <c r="C544" s="3"/>
      <c r="D544" s="3"/>
      <c r="E544" s="3"/>
      <c r="F544" s="3"/>
      <c r="G544" s="3"/>
      <c r="H544" s="3"/>
      <c r="I544" s="3"/>
      <c r="J544" s="3"/>
      <c r="K544" s="3"/>
      <c r="L544" s="3"/>
      <c r="M544" s="3"/>
      <c r="N544" s="3"/>
      <c r="O544" s="3"/>
      <c r="P544" s="3"/>
      <c r="Q544" s="3"/>
      <c r="R544" s="3"/>
      <c r="S544" s="3"/>
      <c r="T544" s="3"/>
      <c r="U544" s="3"/>
      <c r="V544" s="3"/>
      <c r="W544" s="3"/>
    </row>
    <row r="545" spans="1:23" x14ac:dyDescent="0.35">
      <c r="A545" s="3"/>
      <c r="B545" s="3"/>
      <c r="C545" s="3"/>
      <c r="D545" s="3"/>
      <c r="E545" s="3"/>
      <c r="F545" s="3"/>
      <c r="G545" s="3"/>
      <c r="H545" s="3"/>
      <c r="I545" s="3"/>
      <c r="J545" s="3"/>
      <c r="K545" s="3"/>
      <c r="L545" s="3"/>
      <c r="M545" s="3"/>
      <c r="N545" s="3"/>
      <c r="O545" s="3"/>
      <c r="P545" s="3"/>
      <c r="Q545" s="3"/>
      <c r="R545" s="3"/>
      <c r="S545" s="3"/>
      <c r="T545" s="3"/>
      <c r="U545" s="3"/>
      <c r="V545" s="3"/>
      <c r="W545" s="3"/>
    </row>
    <row r="546" spans="1:23" x14ac:dyDescent="0.35">
      <c r="A546" s="3"/>
      <c r="B546" s="3"/>
      <c r="C546" s="3"/>
      <c r="D546" s="3"/>
      <c r="E546" s="3"/>
      <c r="F546" s="3"/>
      <c r="G546" s="3"/>
      <c r="H546" s="3"/>
      <c r="I546" s="3"/>
      <c r="J546" s="3"/>
      <c r="K546" s="3"/>
      <c r="L546" s="3"/>
      <c r="M546" s="3"/>
      <c r="N546" s="3"/>
      <c r="O546" s="3"/>
      <c r="P546" s="3"/>
      <c r="Q546" s="3"/>
      <c r="R546" s="3"/>
      <c r="S546" s="3"/>
      <c r="T546" s="3"/>
      <c r="U546" s="3"/>
      <c r="V546" s="3"/>
      <c r="W546" s="3"/>
    </row>
    <row r="547" spans="1:23" x14ac:dyDescent="0.35">
      <c r="A547" s="3"/>
      <c r="B547" s="3"/>
      <c r="C547" s="3"/>
      <c r="D547" s="3"/>
      <c r="E547" s="3"/>
      <c r="F547" s="3"/>
      <c r="G547" s="3"/>
      <c r="H547" s="3"/>
      <c r="I547" s="3"/>
      <c r="J547" s="3"/>
      <c r="K547" s="3"/>
      <c r="L547" s="3"/>
      <c r="M547" s="3"/>
      <c r="N547" s="3"/>
      <c r="O547" s="3"/>
      <c r="P547" s="3"/>
      <c r="Q547" s="3"/>
      <c r="R547" s="3"/>
      <c r="S547" s="3"/>
      <c r="T547" s="3"/>
      <c r="U547" s="3"/>
      <c r="V547" s="3"/>
      <c r="W547" s="3"/>
    </row>
    <row r="548" spans="1:23" x14ac:dyDescent="0.35">
      <c r="A548" s="3"/>
      <c r="B548" s="3"/>
      <c r="C548" s="3"/>
      <c r="D548" s="3"/>
      <c r="E548" s="3"/>
      <c r="F548" s="3"/>
      <c r="G548" s="3"/>
      <c r="H548" s="3"/>
      <c r="I548" s="3"/>
      <c r="J548" s="3"/>
      <c r="K548" s="3"/>
      <c r="L548" s="3"/>
      <c r="M548" s="3"/>
      <c r="N548" s="3"/>
      <c r="O548" s="3"/>
      <c r="P548" s="3"/>
      <c r="Q548" s="3"/>
      <c r="R548" s="3"/>
      <c r="S548" s="3"/>
      <c r="T548" s="3"/>
      <c r="U548" s="3"/>
      <c r="V548" s="3"/>
      <c r="W548" s="3"/>
    </row>
    <row r="549" spans="1:23" x14ac:dyDescent="0.35">
      <c r="A549" s="3"/>
      <c r="B549" s="3"/>
      <c r="C549" s="3"/>
      <c r="D549" s="3"/>
      <c r="E549" s="3"/>
      <c r="F549" s="3"/>
      <c r="G549" s="3"/>
      <c r="H549" s="3"/>
      <c r="I549" s="3"/>
      <c r="J549" s="3"/>
      <c r="K549" s="3"/>
      <c r="L549" s="3"/>
      <c r="M549" s="3"/>
      <c r="N549" s="3"/>
      <c r="O549" s="3"/>
      <c r="P549" s="3"/>
      <c r="Q549" s="3"/>
      <c r="R549" s="3"/>
      <c r="S549" s="3"/>
      <c r="T549" s="3"/>
      <c r="U549" s="3"/>
      <c r="V549" s="3"/>
      <c r="W549" s="3"/>
    </row>
    <row r="550" spans="1:23" x14ac:dyDescent="0.35">
      <c r="A550" s="3"/>
      <c r="B550" s="3"/>
      <c r="C550" s="3"/>
      <c r="D550" s="3"/>
      <c r="E550" s="3"/>
      <c r="F550" s="3"/>
      <c r="G550" s="3"/>
      <c r="H550" s="3"/>
      <c r="I550" s="3"/>
      <c r="J550" s="3"/>
      <c r="K550" s="3"/>
      <c r="L550" s="3"/>
      <c r="M550" s="3"/>
      <c r="N550" s="3"/>
      <c r="O550" s="3"/>
      <c r="P550" s="3"/>
      <c r="Q550" s="3"/>
      <c r="R550" s="3"/>
      <c r="S550" s="3"/>
      <c r="T550" s="3"/>
      <c r="U550" s="3"/>
      <c r="V550" s="3"/>
      <c r="W550" s="3"/>
    </row>
    <row r="551" spans="1:23" x14ac:dyDescent="0.35">
      <c r="A551" s="3"/>
      <c r="B551" s="3"/>
      <c r="C551" s="3"/>
      <c r="D551" s="3"/>
      <c r="E551" s="3"/>
      <c r="F551" s="3"/>
      <c r="G551" s="3"/>
      <c r="H551" s="3"/>
      <c r="I551" s="3"/>
      <c r="J551" s="3"/>
      <c r="K551" s="3"/>
      <c r="L551" s="3"/>
      <c r="M551" s="3"/>
      <c r="N551" s="3"/>
      <c r="O551" s="3"/>
      <c r="P551" s="3"/>
      <c r="Q551" s="3"/>
      <c r="R551" s="3"/>
      <c r="S551" s="3"/>
      <c r="T551" s="3"/>
      <c r="U551" s="3"/>
      <c r="V551" s="3"/>
      <c r="W551" s="3"/>
    </row>
    <row r="552" spans="1:23" x14ac:dyDescent="0.35">
      <c r="A552" s="3"/>
      <c r="B552" s="3"/>
      <c r="C552" s="3"/>
      <c r="D552" s="3"/>
      <c r="E552" s="3"/>
      <c r="F552" s="3"/>
      <c r="G552" s="3"/>
      <c r="H552" s="3"/>
      <c r="I552" s="3"/>
      <c r="J552" s="3"/>
      <c r="K552" s="3"/>
      <c r="L552" s="3"/>
      <c r="M552" s="3"/>
      <c r="N552" s="3"/>
      <c r="O552" s="3"/>
      <c r="P552" s="3"/>
      <c r="Q552" s="3"/>
      <c r="R552" s="3"/>
      <c r="S552" s="3"/>
      <c r="T552" s="3"/>
      <c r="U552" s="3"/>
      <c r="V552" s="3"/>
      <c r="W552" s="3"/>
    </row>
    <row r="553" spans="1:23" x14ac:dyDescent="0.35">
      <c r="A553" s="3"/>
      <c r="B553" s="3"/>
      <c r="C553" s="3"/>
      <c r="D553" s="3"/>
      <c r="E553" s="3"/>
      <c r="F553" s="3"/>
      <c r="G553" s="3"/>
      <c r="H553" s="3"/>
      <c r="I553" s="3"/>
      <c r="J553" s="3"/>
      <c r="K553" s="3"/>
      <c r="L553" s="3"/>
      <c r="M553" s="3"/>
      <c r="N553" s="3"/>
      <c r="O553" s="3"/>
      <c r="P553" s="3"/>
      <c r="Q553" s="3"/>
      <c r="R553" s="3"/>
      <c r="S553" s="3"/>
      <c r="T553" s="3"/>
      <c r="U553" s="3"/>
      <c r="V553" s="3"/>
      <c r="W553" s="3"/>
    </row>
    <row r="554" spans="1:23" x14ac:dyDescent="0.35">
      <c r="A554" s="3"/>
      <c r="B554" s="3"/>
      <c r="C554" s="3"/>
      <c r="D554" s="3"/>
      <c r="E554" s="3"/>
      <c r="F554" s="3"/>
      <c r="G554" s="3"/>
      <c r="H554" s="3"/>
      <c r="I554" s="3"/>
      <c r="J554" s="3"/>
      <c r="K554" s="3"/>
      <c r="L554" s="3"/>
      <c r="M554" s="3"/>
      <c r="N554" s="3"/>
      <c r="O554" s="3"/>
      <c r="P554" s="3"/>
      <c r="Q554" s="3"/>
      <c r="R554" s="3"/>
      <c r="S554" s="3"/>
      <c r="T554" s="3"/>
      <c r="U554" s="3"/>
      <c r="V554" s="3"/>
      <c r="W554" s="3"/>
    </row>
    <row r="555" spans="1:23" x14ac:dyDescent="0.35">
      <c r="A555" s="3"/>
      <c r="B555" s="3"/>
      <c r="C555" s="3"/>
      <c r="D555" s="3"/>
      <c r="E555" s="3"/>
      <c r="F555" s="3"/>
      <c r="G555" s="3"/>
      <c r="H555" s="3"/>
      <c r="I555" s="3"/>
      <c r="J555" s="3"/>
      <c r="K555" s="3"/>
      <c r="L555" s="3"/>
      <c r="M555" s="3"/>
      <c r="N555" s="3"/>
      <c r="O555" s="3"/>
      <c r="P555" s="3"/>
      <c r="Q555" s="3"/>
      <c r="R555" s="3"/>
      <c r="S555" s="3"/>
      <c r="T555" s="3"/>
      <c r="U555" s="3"/>
      <c r="V555" s="3"/>
      <c r="W555" s="3"/>
    </row>
    <row r="556" spans="1:23" x14ac:dyDescent="0.35">
      <c r="A556" s="3"/>
      <c r="B556" s="3"/>
      <c r="C556" s="3"/>
      <c r="D556" s="3"/>
      <c r="E556" s="3"/>
      <c r="F556" s="3"/>
      <c r="G556" s="3"/>
      <c r="H556" s="3"/>
      <c r="I556" s="3"/>
      <c r="J556" s="3"/>
      <c r="K556" s="3"/>
      <c r="L556" s="3"/>
      <c r="M556" s="3"/>
      <c r="N556" s="3"/>
      <c r="O556" s="3"/>
      <c r="P556" s="3"/>
      <c r="Q556" s="3"/>
      <c r="R556" s="3"/>
      <c r="S556" s="3"/>
      <c r="T556" s="3"/>
      <c r="U556" s="3"/>
      <c r="V556" s="3"/>
      <c r="W556" s="3"/>
    </row>
    <row r="557" spans="1:23" x14ac:dyDescent="0.35">
      <c r="A557" s="3"/>
      <c r="B557" s="3"/>
      <c r="C557" s="3"/>
      <c r="D557" s="3"/>
      <c r="E557" s="3"/>
      <c r="F557" s="3"/>
      <c r="G557" s="3"/>
      <c r="H557" s="3"/>
      <c r="I557" s="3"/>
      <c r="J557" s="3"/>
      <c r="K557" s="3"/>
      <c r="L557" s="3"/>
      <c r="M557" s="3"/>
      <c r="N557" s="3"/>
      <c r="O557" s="3"/>
      <c r="P557" s="3"/>
      <c r="Q557" s="3"/>
      <c r="R557" s="3"/>
      <c r="S557" s="3"/>
      <c r="T557" s="3"/>
      <c r="U557" s="3"/>
      <c r="V557" s="3"/>
      <c r="W557" s="3"/>
    </row>
    <row r="558" spans="1:23" x14ac:dyDescent="0.35">
      <c r="A558" s="3"/>
      <c r="B558" s="3"/>
      <c r="C558" s="3"/>
      <c r="D558" s="3"/>
      <c r="E558" s="3"/>
      <c r="F558" s="3"/>
      <c r="G558" s="3"/>
      <c r="H558" s="3"/>
      <c r="I558" s="3"/>
      <c r="J558" s="3"/>
      <c r="K558" s="3"/>
      <c r="L558" s="3"/>
      <c r="M558" s="3"/>
      <c r="N558" s="3"/>
      <c r="O558" s="3"/>
      <c r="P558" s="3"/>
      <c r="Q558" s="3"/>
      <c r="R558" s="3"/>
      <c r="S558" s="3"/>
      <c r="T558" s="3"/>
      <c r="U558" s="3"/>
      <c r="V558" s="3"/>
      <c r="W558" s="3"/>
    </row>
    <row r="559" spans="1:23" x14ac:dyDescent="0.35">
      <c r="A559" s="3"/>
      <c r="B559" s="3"/>
      <c r="C559" s="3"/>
      <c r="D559" s="3"/>
      <c r="E559" s="3"/>
      <c r="F559" s="3"/>
      <c r="G559" s="3"/>
      <c r="H559" s="3"/>
      <c r="I559" s="3"/>
      <c r="J559" s="3"/>
      <c r="K559" s="3"/>
      <c r="L559" s="3"/>
      <c r="M559" s="3"/>
      <c r="N559" s="3"/>
      <c r="O559" s="3"/>
      <c r="P559" s="3"/>
      <c r="Q559" s="3"/>
      <c r="R559" s="3"/>
      <c r="S559" s="3"/>
      <c r="T559" s="3"/>
      <c r="U559" s="3"/>
      <c r="V559" s="3"/>
      <c r="W559" s="3"/>
    </row>
    <row r="560" spans="1:23" x14ac:dyDescent="0.35">
      <c r="A560" s="3"/>
      <c r="B560" s="3"/>
      <c r="C560" s="3"/>
      <c r="D560" s="3"/>
      <c r="E560" s="3"/>
      <c r="F560" s="3"/>
      <c r="G560" s="3"/>
      <c r="H560" s="3"/>
      <c r="I560" s="3"/>
      <c r="J560" s="3"/>
      <c r="K560" s="3"/>
      <c r="L560" s="3"/>
      <c r="M560" s="3"/>
      <c r="N560" s="3"/>
      <c r="O560" s="3"/>
      <c r="P560" s="3"/>
      <c r="Q560" s="3"/>
      <c r="R560" s="3"/>
      <c r="S560" s="3"/>
      <c r="T560" s="3"/>
      <c r="U560" s="3"/>
      <c r="V560" s="3"/>
      <c r="W560" s="3"/>
    </row>
    <row r="561" spans="1:23" x14ac:dyDescent="0.35">
      <c r="A561" s="3"/>
      <c r="B561" s="3"/>
      <c r="C561" s="3"/>
      <c r="D561" s="3"/>
      <c r="E561" s="3"/>
      <c r="F561" s="3"/>
      <c r="G561" s="3"/>
      <c r="H561" s="3"/>
      <c r="I561" s="3"/>
      <c r="J561" s="3"/>
      <c r="K561" s="3"/>
      <c r="L561" s="3"/>
      <c r="M561" s="3"/>
      <c r="N561" s="3"/>
      <c r="O561" s="3"/>
      <c r="P561" s="3"/>
      <c r="Q561" s="3"/>
      <c r="R561" s="3"/>
      <c r="S561" s="3"/>
      <c r="T561" s="3"/>
      <c r="U561" s="3"/>
      <c r="V561" s="3"/>
      <c r="W561" s="3"/>
    </row>
    <row r="562" spans="1:23" x14ac:dyDescent="0.35">
      <c r="A562" s="3"/>
      <c r="B562" s="3"/>
      <c r="C562" s="3"/>
      <c r="D562" s="3"/>
      <c r="E562" s="3"/>
      <c r="F562" s="3"/>
      <c r="G562" s="3"/>
      <c r="H562" s="3"/>
      <c r="I562" s="3"/>
      <c r="J562" s="3"/>
      <c r="K562" s="3"/>
      <c r="L562" s="3"/>
      <c r="M562" s="3"/>
      <c r="N562" s="3"/>
      <c r="O562" s="3"/>
      <c r="P562" s="3"/>
      <c r="Q562" s="3"/>
      <c r="R562" s="3"/>
      <c r="S562" s="3"/>
      <c r="T562" s="3"/>
      <c r="U562" s="3"/>
      <c r="V562" s="3"/>
      <c r="W562" s="3"/>
    </row>
    <row r="563" spans="1:23" x14ac:dyDescent="0.35">
      <c r="A563" s="3"/>
      <c r="B563" s="3"/>
      <c r="C563" s="3"/>
      <c r="D563" s="3"/>
      <c r="E563" s="3"/>
      <c r="F563" s="3"/>
      <c r="G563" s="3"/>
      <c r="H563" s="3"/>
      <c r="I563" s="3"/>
      <c r="J563" s="3"/>
      <c r="K563" s="3"/>
      <c r="L563" s="3"/>
      <c r="M563" s="3"/>
      <c r="N563" s="3"/>
      <c r="O563" s="3"/>
      <c r="P563" s="3"/>
      <c r="Q563" s="3"/>
      <c r="R563" s="3"/>
      <c r="S563" s="3"/>
      <c r="T563" s="3"/>
      <c r="U563" s="3"/>
      <c r="V563" s="3"/>
      <c r="W563" s="3"/>
    </row>
    <row r="564" spans="1:23" x14ac:dyDescent="0.35">
      <c r="A564" s="3"/>
      <c r="B564" s="3"/>
      <c r="C564" s="3"/>
      <c r="D564" s="3"/>
      <c r="E564" s="3"/>
      <c r="F564" s="3"/>
      <c r="G564" s="3"/>
      <c r="H564" s="3"/>
      <c r="I564" s="3"/>
      <c r="J564" s="3"/>
      <c r="K564" s="3"/>
      <c r="L564" s="3"/>
      <c r="M564" s="3"/>
      <c r="N564" s="3"/>
      <c r="O564" s="3"/>
      <c r="P564" s="3"/>
      <c r="Q564" s="3"/>
      <c r="R564" s="3"/>
      <c r="S564" s="3"/>
      <c r="T564" s="3"/>
      <c r="U564" s="3"/>
      <c r="V564" s="3"/>
      <c r="W564" s="3"/>
    </row>
    <row r="565" spans="1:23" x14ac:dyDescent="0.35">
      <c r="A565" s="3"/>
      <c r="B565" s="3"/>
      <c r="C565" s="3"/>
      <c r="D565" s="3"/>
      <c r="E565" s="3"/>
      <c r="F565" s="3"/>
      <c r="G565" s="3"/>
      <c r="H565" s="3"/>
      <c r="I565" s="3"/>
      <c r="J565" s="3"/>
      <c r="K565" s="3"/>
      <c r="L565" s="3"/>
      <c r="M565" s="3"/>
      <c r="N565" s="3"/>
      <c r="O565" s="3"/>
      <c r="P565" s="3"/>
      <c r="Q565" s="3"/>
      <c r="R565" s="3"/>
      <c r="S565" s="3"/>
      <c r="T565" s="3"/>
      <c r="U565" s="3"/>
      <c r="V565" s="3"/>
      <c r="W565" s="3"/>
    </row>
  </sheetData>
  <hyperlinks>
    <hyperlink ref="A2" location="CHARTS!A38" display="1)" xr:uid="{00000000-0004-0000-0400-000000000000}"/>
    <hyperlink ref="A3" location="Charts!A162" display="2)" xr:uid="{00000000-0004-0000-0400-000001000000}"/>
    <hyperlink ref="A4" location="Charts!A233" display="3)" xr:uid="{00000000-0004-0000-0400-000002000000}"/>
  </hyperlinks>
  <pageMargins left="0.7" right="0.7" top="0.75" bottom="0.75" header="0.3" footer="0.3"/>
  <pageSetup paperSize="9" scale="29" orientation="portrait" r:id="rId1"/>
  <rowBreaks count="1" manualBreakCount="1">
    <brk id="140" max="2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Dates!$A$2:$A$113</xm:f>
          </x14:formula1>
          <xm:sqref>G3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30988-4BCA-4394-8D8F-598BAA7A0D17}">
  <dimension ref="A1:AZ100"/>
  <sheetViews>
    <sheetView zoomScale="80" zoomScaleNormal="80" workbookViewId="0">
      <selection activeCell="E11" sqref="E11"/>
    </sheetView>
  </sheetViews>
  <sheetFormatPr defaultColWidth="7.88671875" defaultRowHeight="13.2" x14ac:dyDescent="0.25"/>
  <cols>
    <col min="1" max="1" width="3.109375" style="331" customWidth="1"/>
    <col min="2" max="16384" width="7.88671875" style="331"/>
  </cols>
  <sheetData>
    <row r="1" spans="1:52" s="324" customFormat="1" x14ac:dyDescent="0.25">
      <c r="A1" s="322"/>
      <c r="B1" s="323"/>
      <c r="C1" s="323"/>
      <c r="D1" s="323"/>
      <c r="E1" s="323"/>
      <c r="F1" s="323"/>
      <c r="G1" s="323"/>
      <c r="H1" s="323"/>
      <c r="I1" s="323"/>
      <c r="J1" s="323"/>
      <c r="K1" s="323"/>
      <c r="L1" s="323"/>
      <c r="M1" s="323"/>
      <c r="N1" s="323"/>
      <c r="O1" s="323"/>
      <c r="P1" s="323"/>
      <c r="Q1" s="323"/>
      <c r="R1" s="323"/>
      <c r="S1" s="323"/>
      <c r="T1" s="323"/>
      <c r="U1" s="323"/>
      <c r="V1" s="323"/>
      <c r="W1" s="323"/>
      <c r="X1" s="323"/>
      <c r="Y1" s="323"/>
      <c r="Z1" s="323"/>
      <c r="AA1" s="323"/>
      <c r="AB1" s="323"/>
      <c r="AC1" s="323"/>
      <c r="AD1" s="323"/>
      <c r="AE1" s="323"/>
      <c r="AF1" s="323"/>
      <c r="AG1" s="323"/>
      <c r="AH1" s="323"/>
      <c r="AI1" s="323"/>
      <c r="AJ1" s="323"/>
      <c r="AK1" s="323"/>
      <c r="AL1" s="323"/>
      <c r="AM1" s="323"/>
      <c r="AN1" s="323"/>
      <c r="AO1" s="323"/>
      <c r="AP1" s="323"/>
      <c r="AQ1" s="323"/>
      <c r="AR1" s="323"/>
      <c r="AS1" s="323"/>
      <c r="AT1" s="323"/>
      <c r="AU1" s="323"/>
      <c r="AV1" s="323"/>
      <c r="AW1" s="323"/>
      <c r="AX1" s="323"/>
      <c r="AY1" s="323"/>
      <c r="AZ1" s="323"/>
    </row>
    <row r="2" spans="1:52" s="324" customFormat="1" ht="54.75" customHeight="1" x14ac:dyDescent="0.25">
      <c r="A2" s="323"/>
      <c r="B2" s="323"/>
      <c r="C2" s="323"/>
      <c r="D2" s="323"/>
      <c r="E2" s="323"/>
      <c r="F2" s="323"/>
      <c r="G2" s="323"/>
      <c r="H2" s="323"/>
      <c r="I2" s="323"/>
      <c r="J2" s="323"/>
      <c r="K2" s="323"/>
      <c r="L2" s="323"/>
      <c r="M2" s="323"/>
      <c r="N2" s="323"/>
      <c r="O2" s="323"/>
      <c r="P2" s="323"/>
      <c r="Q2" s="323"/>
      <c r="R2" s="323"/>
      <c r="S2" s="323"/>
      <c r="T2" s="323"/>
      <c r="U2" s="323"/>
      <c r="V2" s="323"/>
      <c r="W2" s="323"/>
      <c r="X2" s="323"/>
      <c r="Y2" s="323"/>
      <c r="Z2" s="323"/>
      <c r="AA2" s="323"/>
      <c r="AB2" s="323"/>
      <c r="AC2" s="323"/>
      <c r="AD2" s="323"/>
      <c r="AE2" s="323"/>
      <c r="AF2" s="323"/>
      <c r="AG2" s="323"/>
      <c r="AH2" s="323"/>
      <c r="AI2" s="323"/>
      <c r="AJ2" s="323"/>
      <c r="AK2" s="323"/>
      <c r="AL2" s="323"/>
      <c r="AM2" s="323"/>
      <c r="AN2" s="323"/>
      <c r="AO2" s="323"/>
      <c r="AP2" s="323"/>
      <c r="AQ2" s="323"/>
      <c r="AR2" s="323"/>
      <c r="AS2" s="323"/>
      <c r="AT2" s="323"/>
      <c r="AU2" s="323"/>
      <c r="AV2" s="323"/>
      <c r="AW2" s="323"/>
      <c r="AX2" s="323"/>
      <c r="AY2" s="323"/>
      <c r="AZ2" s="323"/>
    </row>
    <row r="3" spans="1:52" s="324" customFormat="1" x14ac:dyDescent="0.25">
      <c r="A3" s="322"/>
      <c r="B3" s="323"/>
      <c r="C3" s="323"/>
      <c r="D3" s="323"/>
      <c r="E3" s="323"/>
      <c r="F3" s="323"/>
      <c r="G3" s="323"/>
      <c r="H3" s="323"/>
      <c r="I3" s="323"/>
      <c r="J3" s="323"/>
      <c r="K3" s="323"/>
      <c r="L3" s="323"/>
      <c r="M3" s="323"/>
      <c r="N3" s="323"/>
      <c r="O3" s="323"/>
      <c r="P3" s="323"/>
      <c r="Q3" s="323"/>
      <c r="R3" s="323"/>
      <c r="S3" s="323"/>
      <c r="T3" s="323"/>
      <c r="U3" s="323"/>
      <c r="V3" s="323"/>
      <c r="W3" s="323"/>
      <c r="X3" s="323"/>
      <c r="Y3" s="323"/>
      <c r="Z3" s="323"/>
      <c r="AA3" s="323"/>
      <c r="AB3" s="323"/>
      <c r="AC3" s="323"/>
      <c r="AD3" s="323"/>
      <c r="AE3" s="323"/>
      <c r="AF3" s="323"/>
      <c r="AG3" s="323"/>
      <c r="AH3" s="323"/>
      <c r="AI3" s="323"/>
      <c r="AJ3" s="323"/>
      <c r="AK3" s="323"/>
      <c r="AL3" s="323"/>
      <c r="AM3" s="323"/>
      <c r="AN3" s="323"/>
      <c r="AO3" s="323"/>
      <c r="AP3" s="323"/>
      <c r="AQ3" s="323"/>
      <c r="AR3" s="323"/>
      <c r="AS3" s="323"/>
      <c r="AT3" s="323"/>
      <c r="AU3" s="323"/>
      <c r="AV3" s="323"/>
      <c r="AW3" s="323"/>
      <c r="AX3" s="323"/>
      <c r="AY3" s="323"/>
      <c r="AZ3" s="323"/>
    </row>
    <row r="4" spans="1:52" s="326" customFormat="1" x14ac:dyDescent="0.25">
      <c r="A4" s="325"/>
      <c r="B4" s="325"/>
      <c r="C4" s="325"/>
      <c r="D4" s="325"/>
      <c r="E4" s="325"/>
      <c r="F4" s="325"/>
      <c r="G4" s="325"/>
      <c r="H4" s="325"/>
      <c r="I4" s="325"/>
      <c r="J4" s="325"/>
      <c r="K4" s="325"/>
      <c r="L4" s="325"/>
      <c r="M4" s="325"/>
      <c r="N4" s="325"/>
      <c r="O4" s="325"/>
      <c r="P4" s="325"/>
      <c r="Q4" s="325"/>
      <c r="R4" s="325"/>
      <c r="S4" s="325"/>
      <c r="T4" s="325"/>
      <c r="U4" s="325"/>
      <c r="V4" s="325"/>
      <c r="W4" s="325"/>
      <c r="X4" s="325"/>
      <c r="Y4" s="325"/>
      <c r="Z4" s="325"/>
      <c r="AA4" s="325"/>
      <c r="AB4" s="325"/>
      <c r="AC4" s="325"/>
      <c r="AD4" s="325"/>
      <c r="AE4" s="325"/>
      <c r="AF4" s="325"/>
      <c r="AG4" s="325"/>
      <c r="AH4" s="325"/>
      <c r="AI4" s="325"/>
      <c r="AJ4" s="325"/>
      <c r="AK4" s="325"/>
      <c r="AL4" s="325"/>
      <c r="AM4" s="325"/>
      <c r="AN4" s="325"/>
      <c r="AO4" s="325"/>
      <c r="AP4" s="325"/>
      <c r="AQ4" s="325"/>
      <c r="AR4" s="325"/>
      <c r="AS4" s="325"/>
      <c r="AT4" s="325"/>
      <c r="AU4" s="325"/>
      <c r="AV4" s="325"/>
      <c r="AW4" s="325"/>
      <c r="AX4" s="325"/>
      <c r="AY4" s="325"/>
      <c r="AZ4" s="325"/>
    </row>
    <row r="5" spans="1:52" s="326" customFormat="1" x14ac:dyDescent="0.25">
      <c r="A5" s="325"/>
      <c r="B5" s="325"/>
      <c r="C5" s="325"/>
      <c r="D5" s="327"/>
      <c r="E5" s="327"/>
      <c r="F5" s="327"/>
      <c r="G5" s="327"/>
      <c r="H5" s="327"/>
      <c r="I5" s="327"/>
      <c r="J5" s="327"/>
      <c r="K5" s="327"/>
      <c r="L5" s="327"/>
      <c r="M5" s="327"/>
      <c r="N5" s="327"/>
      <c r="O5" s="327"/>
      <c r="P5" s="327"/>
      <c r="Q5" s="327"/>
      <c r="R5" s="327"/>
      <c r="S5" s="327"/>
      <c r="T5" s="327"/>
      <c r="U5" s="327"/>
      <c r="V5" s="327"/>
      <c r="W5" s="327"/>
      <c r="X5" s="327"/>
      <c r="Y5" s="327"/>
      <c r="Z5" s="327"/>
      <c r="AA5" s="327"/>
      <c r="AB5" s="327"/>
      <c r="AC5" s="327"/>
      <c r="AD5" s="327"/>
      <c r="AE5" s="327"/>
      <c r="AF5" s="327"/>
      <c r="AG5" s="327"/>
      <c r="AH5" s="327"/>
      <c r="AI5" s="327"/>
      <c r="AJ5" s="327"/>
      <c r="AK5" s="327"/>
      <c r="AL5" s="327"/>
      <c r="AM5" s="327"/>
      <c r="AN5" s="327"/>
      <c r="AO5" s="327"/>
      <c r="AP5" s="327"/>
      <c r="AQ5" s="327"/>
      <c r="AR5" s="327"/>
      <c r="AS5" s="327"/>
      <c r="AT5" s="327"/>
      <c r="AU5" s="327"/>
      <c r="AV5" s="327"/>
      <c r="AW5" s="327"/>
      <c r="AX5" s="327"/>
      <c r="AY5" s="327"/>
      <c r="AZ5" s="327"/>
    </row>
    <row r="6" spans="1:52" s="326" customFormat="1" x14ac:dyDescent="0.25">
      <c r="A6" s="325"/>
      <c r="B6" s="325"/>
      <c r="C6" s="325"/>
      <c r="D6" s="327"/>
      <c r="E6" s="327"/>
      <c r="F6" s="327"/>
      <c r="G6" s="327"/>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327"/>
      <c r="AY6" s="327"/>
      <c r="AZ6" s="327"/>
    </row>
    <row r="7" spans="1:52" s="326" customFormat="1" ht="15.6" x14ac:dyDescent="0.25">
      <c r="A7" s="325"/>
      <c r="B7" s="328" t="s">
        <v>337</v>
      </c>
      <c r="C7" s="325"/>
      <c r="D7" s="327"/>
      <c r="E7" s="327"/>
      <c r="F7" s="327"/>
      <c r="G7" s="327"/>
      <c r="H7" s="327"/>
      <c r="I7" s="327"/>
      <c r="J7" s="327"/>
      <c r="K7" s="327"/>
      <c r="L7" s="327"/>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7"/>
      <c r="AN7" s="327"/>
      <c r="AO7" s="327"/>
      <c r="AP7" s="327"/>
      <c r="AQ7" s="327"/>
      <c r="AR7" s="327"/>
      <c r="AS7" s="327"/>
      <c r="AT7" s="327"/>
      <c r="AU7" s="327"/>
      <c r="AV7" s="327"/>
      <c r="AW7" s="327"/>
      <c r="AX7" s="327"/>
      <c r="AY7" s="327"/>
      <c r="AZ7" s="327"/>
    </row>
    <row r="8" spans="1:52" s="326" customFormat="1" x14ac:dyDescent="0.25">
      <c r="A8" s="325"/>
      <c r="B8" s="325"/>
      <c r="C8" s="329"/>
      <c r="D8" s="329"/>
      <c r="E8" s="329"/>
      <c r="F8" s="329"/>
      <c r="G8" s="329"/>
      <c r="H8" s="329"/>
      <c r="I8" s="329"/>
      <c r="J8" s="329"/>
      <c r="K8" s="329"/>
      <c r="L8" s="329"/>
      <c r="M8" s="329"/>
      <c r="N8" s="329"/>
      <c r="O8" s="329"/>
      <c r="P8" s="329"/>
      <c r="Q8" s="329"/>
      <c r="R8" s="329"/>
      <c r="S8" s="329"/>
      <c r="T8" s="329"/>
      <c r="U8" s="329"/>
      <c r="V8" s="329"/>
      <c r="W8" s="329"/>
      <c r="X8" s="329"/>
      <c r="Y8" s="329"/>
      <c r="Z8" s="329"/>
      <c r="AA8" s="329"/>
      <c r="AB8" s="329"/>
      <c r="AC8" s="329"/>
      <c r="AD8" s="329"/>
      <c r="AE8" s="329"/>
      <c r="AF8" s="329"/>
      <c r="AG8" s="329"/>
      <c r="AH8" s="329"/>
      <c r="AI8" s="329"/>
      <c r="AJ8" s="329"/>
      <c r="AK8" s="329"/>
      <c r="AL8" s="329"/>
      <c r="AM8" s="329"/>
      <c r="AN8" s="329"/>
      <c r="AO8" s="329"/>
      <c r="AP8" s="329"/>
      <c r="AQ8" s="329"/>
      <c r="AR8" s="329"/>
      <c r="AS8" s="329"/>
      <c r="AT8" s="329"/>
      <c r="AU8" s="329"/>
      <c r="AV8" s="329"/>
      <c r="AW8" s="329"/>
      <c r="AX8" s="329"/>
      <c r="AY8" s="329"/>
      <c r="AZ8" s="329"/>
    </row>
    <row r="9" spans="1:52" x14ac:dyDescent="0.25">
      <c r="A9" s="330"/>
      <c r="B9" s="330"/>
      <c r="C9" s="330"/>
      <c r="D9" s="330"/>
      <c r="E9" s="330"/>
      <c r="F9" s="330"/>
      <c r="G9" s="330"/>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330"/>
      <c r="AY9" s="330"/>
      <c r="AZ9" s="330"/>
    </row>
    <row r="10" spans="1:52" ht="13.8" thickBot="1" x14ac:dyDescent="0.3">
      <c r="A10" s="330"/>
      <c r="B10" s="332"/>
      <c r="C10" s="332"/>
      <c r="D10" s="332"/>
      <c r="E10" s="332"/>
      <c r="F10" s="332"/>
      <c r="G10" s="332"/>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row>
    <row r="11" spans="1:52" ht="13.8" thickTop="1" x14ac:dyDescent="0.25">
      <c r="A11" s="330"/>
      <c r="B11" s="333"/>
      <c r="C11" s="334"/>
      <c r="D11" s="335"/>
      <c r="E11" s="335"/>
      <c r="F11" s="333"/>
      <c r="G11" s="334"/>
      <c r="H11" s="335"/>
      <c r="I11" s="330"/>
      <c r="J11" s="333"/>
      <c r="K11" s="336"/>
      <c r="L11" s="336"/>
      <c r="M11" s="336"/>
      <c r="N11" s="336"/>
      <c r="O11" s="336"/>
      <c r="P11" s="336"/>
      <c r="Q11" s="336"/>
      <c r="R11" s="336"/>
      <c r="S11" s="336"/>
      <c r="T11" s="336"/>
      <c r="U11" s="336"/>
      <c r="V11" s="336"/>
      <c r="W11" s="336"/>
      <c r="X11" s="336"/>
      <c r="Y11" s="336"/>
      <c r="Z11" s="336"/>
      <c r="AA11" s="336"/>
      <c r="AB11" s="336"/>
      <c r="AC11" s="336"/>
      <c r="AD11" s="336"/>
      <c r="AE11" s="336"/>
      <c r="AF11" s="336"/>
      <c r="AG11" s="336"/>
      <c r="AH11" s="336"/>
      <c r="AI11" s="336"/>
      <c r="AJ11" s="336"/>
      <c r="AK11" s="336"/>
      <c r="AL11" s="336"/>
      <c r="AM11" s="336"/>
      <c r="AN11" s="336"/>
      <c r="AO11" s="336"/>
      <c r="AP11" s="336"/>
      <c r="AQ11" s="336"/>
      <c r="AR11" s="336"/>
      <c r="AS11" s="336"/>
      <c r="AT11" s="336"/>
      <c r="AU11" s="336"/>
      <c r="AV11" s="336"/>
      <c r="AW11" s="336"/>
      <c r="AX11" s="336"/>
      <c r="AY11" s="336"/>
      <c r="AZ11" s="336"/>
    </row>
    <row r="12" spans="1:52" x14ac:dyDescent="0.25">
      <c r="A12" s="330"/>
      <c r="B12" s="337" t="s">
        <v>338</v>
      </c>
      <c r="C12" s="338"/>
      <c r="D12" s="338"/>
      <c r="E12" s="338"/>
      <c r="F12" s="338"/>
      <c r="G12" s="338"/>
      <c r="H12" s="338"/>
      <c r="I12" s="338"/>
      <c r="J12" s="338"/>
      <c r="K12" s="338"/>
      <c r="L12" s="335"/>
      <c r="M12" s="339"/>
      <c r="N12" s="340"/>
      <c r="O12" s="340"/>
      <c r="P12" s="340"/>
      <c r="Q12" s="340"/>
      <c r="R12" s="340"/>
      <c r="S12" s="340"/>
      <c r="T12" s="340"/>
      <c r="U12" s="340"/>
      <c r="V12" s="340"/>
      <c r="W12" s="340"/>
      <c r="X12" s="340"/>
      <c r="Y12" s="340"/>
      <c r="Z12" s="340"/>
      <c r="AA12" s="340"/>
      <c r="AB12" s="340"/>
      <c r="AC12" s="340"/>
      <c r="AD12" s="340"/>
      <c r="AE12" s="340"/>
      <c r="AF12" s="340"/>
      <c r="AG12" s="340"/>
      <c r="AH12" s="340"/>
      <c r="AI12" s="340"/>
      <c r="AJ12" s="340"/>
      <c r="AK12" s="340"/>
      <c r="AL12" s="340"/>
      <c r="AM12" s="340"/>
      <c r="AN12" s="340"/>
      <c r="AO12" s="340"/>
      <c r="AP12" s="340"/>
      <c r="AQ12" s="340"/>
      <c r="AR12" s="340"/>
      <c r="AS12" s="340"/>
      <c r="AT12" s="340"/>
      <c r="AU12" s="340"/>
      <c r="AV12" s="340"/>
      <c r="AW12" s="340"/>
      <c r="AX12" s="340"/>
      <c r="AY12" s="340"/>
      <c r="AZ12" s="340"/>
    </row>
    <row r="13" spans="1:52" x14ac:dyDescent="0.25">
      <c r="A13" s="330"/>
      <c r="B13" s="337"/>
      <c r="C13" s="338"/>
      <c r="D13" s="338"/>
      <c r="E13" s="338"/>
      <c r="F13" s="338"/>
      <c r="G13" s="338"/>
      <c r="H13" s="338"/>
      <c r="I13" s="338"/>
      <c r="J13" s="338"/>
      <c r="K13" s="338"/>
      <c r="L13" s="335"/>
      <c r="M13" s="339"/>
      <c r="N13" s="340"/>
      <c r="O13" s="340"/>
      <c r="P13" s="340"/>
      <c r="Q13" s="340"/>
      <c r="R13" s="340"/>
      <c r="S13" s="340"/>
      <c r="T13" s="340"/>
      <c r="U13" s="340"/>
      <c r="V13" s="340"/>
      <c r="W13" s="340"/>
      <c r="X13" s="340"/>
      <c r="Y13" s="340"/>
      <c r="Z13" s="340"/>
      <c r="AA13" s="340"/>
      <c r="AB13" s="340"/>
      <c r="AC13" s="340"/>
      <c r="AD13" s="340"/>
      <c r="AE13" s="340"/>
      <c r="AF13" s="340"/>
      <c r="AG13" s="340"/>
      <c r="AH13" s="340"/>
      <c r="AI13" s="340"/>
      <c r="AJ13" s="340"/>
      <c r="AK13" s="340"/>
      <c r="AL13" s="340"/>
      <c r="AM13" s="340"/>
      <c r="AN13" s="340"/>
      <c r="AO13" s="340"/>
      <c r="AP13" s="340"/>
      <c r="AQ13" s="340"/>
      <c r="AR13" s="340"/>
      <c r="AS13" s="340"/>
      <c r="AT13" s="340"/>
      <c r="AU13" s="340"/>
      <c r="AV13" s="340"/>
      <c r="AW13" s="340"/>
      <c r="AX13" s="340"/>
      <c r="AY13" s="340"/>
      <c r="AZ13" s="340"/>
    </row>
    <row r="14" spans="1:52" x14ac:dyDescent="0.25">
      <c r="A14" s="330"/>
      <c r="B14" s="337" t="s">
        <v>339</v>
      </c>
      <c r="C14" s="338"/>
      <c r="D14" s="338"/>
      <c r="E14" s="338"/>
      <c r="F14" s="338"/>
      <c r="G14" s="338"/>
      <c r="H14" s="338"/>
      <c r="I14" s="338"/>
      <c r="J14" s="338"/>
      <c r="K14" s="338"/>
      <c r="L14" s="335"/>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1"/>
      <c r="AL14" s="341"/>
      <c r="AM14" s="341"/>
      <c r="AN14" s="341"/>
      <c r="AO14" s="341"/>
      <c r="AP14" s="341"/>
      <c r="AQ14" s="341"/>
      <c r="AR14" s="341"/>
      <c r="AS14" s="341"/>
      <c r="AT14" s="341"/>
      <c r="AU14" s="341"/>
      <c r="AV14" s="341"/>
      <c r="AW14" s="341"/>
      <c r="AX14" s="341"/>
      <c r="AY14" s="341"/>
      <c r="AZ14" s="341"/>
    </row>
    <row r="15" spans="1:52" x14ac:dyDescent="0.25">
      <c r="A15" s="330"/>
      <c r="B15" s="337"/>
      <c r="C15" s="338"/>
      <c r="D15" s="338"/>
      <c r="E15" s="338"/>
      <c r="F15" s="338"/>
      <c r="G15" s="338"/>
      <c r="H15" s="338"/>
      <c r="I15" s="338"/>
      <c r="J15" s="338"/>
      <c r="K15" s="338"/>
      <c r="L15" s="335"/>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341"/>
      <c r="AR15" s="341"/>
      <c r="AS15" s="341"/>
      <c r="AT15" s="341"/>
      <c r="AU15" s="341"/>
      <c r="AV15" s="341"/>
      <c r="AW15" s="341"/>
      <c r="AX15" s="341"/>
      <c r="AY15" s="341"/>
      <c r="AZ15" s="341"/>
    </row>
    <row r="16" spans="1:52" x14ac:dyDescent="0.25">
      <c r="A16" s="330"/>
      <c r="B16" s="337" t="s">
        <v>340</v>
      </c>
      <c r="C16" s="338"/>
      <c r="D16" s="338"/>
      <c r="E16" s="338"/>
      <c r="F16" s="338"/>
      <c r="G16" s="338"/>
      <c r="H16" s="338"/>
      <c r="I16" s="338"/>
      <c r="J16" s="338"/>
      <c r="K16" s="338"/>
      <c r="L16" s="335"/>
      <c r="M16" s="341"/>
      <c r="N16" s="341"/>
      <c r="O16" s="341"/>
      <c r="P16" s="341"/>
      <c r="Q16" s="341"/>
      <c r="R16" s="341"/>
      <c r="S16" s="341"/>
      <c r="T16" s="341"/>
      <c r="U16" s="341"/>
      <c r="V16" s="341"/>
      <c r="W16" s="341"/>
      <c r="X16" s="341"/>
      <c r="Y16" s="341"/>
      <c r="Z16" s="341"/>
      <c r="AA16" s="341"/>
      <c r="AB16" s="341"/>
      <c r="AC16" s="341"/>
      <c r="AD16" s="341"/>
      <c r="AE16" s="341"/>
      <c r="AF16" s="341"/>
      <c r="AG16" s="341"/>
      <c r="AH16" s="341"/>
      <c r="AI16" s="341"/>
      <c r="AJ16" s="341"/>
      <c r="AK16" s="341"/>
      <c r="AL16" s="341"/>
      <c r="AM16" s="341"/>
      <c r="AN16" s="341"/>
      <c r="AO16" s="341"/>
      <c r="AP16" s="341"/>
      <c r="AQ16" s="341"/>
      <c r="AR16" s="341"/>
      <c r="AS16" s="341"/>
      <c r="AT16" s="341"/>
      <c r="AU16" s="341"/>
      <c r="AV16" s="341"/>
      <c r="AW16" s="341"/>
      <c r="AX16" s="341"/>
      <c r="AY16" s="341"/>
      <c r="AZ16" s="341"/>
    </row>
    <row r="17" spans="1:52" x14ac:dyDescent="0.25">
      <c r="A17" s="330"/>
      <c r="B17" s="337"/>
      <c r="C17" s="338"/>
      <c r="D17" s="338"/>
      <c r="E17" s="338"/>
      <c r="F17" s="338"/>
      <c r="G17" s="338"/>
      <c r="H17" s="338"/>
      <c r="I17" s="338"/>
      <c r="J17" s="338"/>
      <c r="K17" s="338"/>
      <c r="L17" s="335"/>
      <c r="M17" s="341"/>
      <c r="N17" s="341"/>
      <c r="O17" s="341"/>
      <c r="P17" s="341"/>
      <c r="Q17" s="341"/>
      <c r="R17" s="341"/>
      <c r="S17" s="341"/>
      <c r="T17" s="341"/>
      <c r="U17" s="341"/>
      <c r="V17" s="341"/>
      <c r="W17" s="341"/>
      <c r="X17" s="341"/>
      <c r="Y17" s="341"/>
      <c r="Z17" s="341"/>
      <c r="AA17" s="341"/>
      <c r="AB17" s="341"/>
      <c r="AC17" s="341"/>
      <c r="AD17" s="341"/>
      <c r="AE17" s="341"/>
      <c r="AF17" s="341"/>
      <c r="AG17" s="341"/>
      <c r="AH17" s="341"/>
      <c r="AI17" s="341"/>
      <c r="AJ17" s="341"/>
      <c r="AK17" s="341"/>
      <c r="AL17" s="341"/>
      <c r="AM17" s="341"/>
      <c r="AN17" s="341"/>
      <c r="AO17" s="341"/>
      <c r="AP17" s="341"/>
      <c r="AQ17" s="341"/>
      <c r="AR17" s="341"/>
      <c r="AS17" s="341"/>
      <c r="AT17" s="341"/>
      <c r="AU17" s="341"/>
      <c r="AV17" s="341"/>
      <c r="AW17" s="341"/>
      <c r="AX17" s="341"/>
      <c r="AY17" s="341"/>
      <c r="AZ17" s="341"/>
    </row>
    <row r="18" spans="1:52" x14ac:dyDescent="0.25">
      <c r="A18" s="330"/>
      <c r="B18" s="337" t="s">
        <v>341</v>
      </c>
      <c r="C18" s="338"/>
      <c r="D18" s="338"/>
      <c r="E18" s="338"/>
      <c r="F18" s="338"/>
      <c r="G18" s="338"/>
      <c r="H18" s="338"/>
      <c r="I18" s="338"/>
      <c r="J18" s="338"/>
      <c r="K18" s="338"/>
      <c r="L18" s="335"/>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c r="AJ18" s="342"/>
      <c r="AK18" s="342"/>
      <c r="AL18" s="342"/>
      <c r="AM18" s="342"/>
      <c r="AN18" s="342"/>
      <c r="AO18" s="342"/>
      <c r="AP18" s="342"/>
      <c r="AQ18" s="342"/>
      <c r="AR18" s="342"/>
      <c r="AS18" s="342"/>
      <c r="AT18" s="342"/>
      <c r="AU18" s="342"/>
      <c r="AV18" s="342"/>
      <c r="AW18" s="342"/>
      <c r="AX18" s="342"/>
      <c r="AY18" s="342"/>
      <c r="AZ18" s="342"/>
    </row>
    <row r="19" spans="1:52" x14ac:dyDescent="0.25">
      <c r="A19" s="330"/>
      <c r="B19" s="337"/>
      <c r="C19" s="338"/>
      <c r="D19" s="338"/>
      <c r="E19" s="338"/>
      <c r="F19" s="338"/>
      <c r="G19" s="338"/>
      <c r="H19" s="338"/>
      <c r="I19" s="338"/>
      <c r="J19" s="338"/>
      <c r="K19" s="338"/>
      <c r="L19" s="335"/>
      <c r="M19" s="342"/>
      <c r="N19" s="342"/>
      <c r="O19" s="342"/>
      <c r="P19" s="342"/>
      <c r="Q19" s="342"/>
      <c r="R19" s="342"/>
      <c r="S19" s="342"/>
      <c r="T19" s="342"/>
      <c r="U19" s="342"/>
      <c r="V19" s="342"/>
      <c r="W19" s="342"/>
      <c r="X19" s="342"/>
      <c r="Y19" s="342"/>
      <c r="Z19" s="342"/>
      <c r="AA19" s="342"/>
      <c r="AB19" s="342"/>
      <c r="AC19" s="342"/>
      <c r="AD19" s="342"/>
      <c r="AE19" s="342"/>
      <c r="AF19" s="342"/>
      <c r="AG19" s="342"/>
      <c r="AH19" s="342"/>
      <c r="AI19" s="342"/>
      <c r="AJ19" s="342"/>
      <c r="AK19" s="342"/>
      <c r="AL19" s="342"/>
      <c r="AM19" s="342"/>
      <c r="AN19" s="342"/>
      <c r="AO19" s="342"/>
      <c r="AP19" s="342"/>
      <c r="AQ19" s="342"/>
      <c r="AR19" s="342"/>
      <c r="AS19" s="342"/>
      <c r="AT19" s="342"/>
      <c r="AU19" s="342"/>
      <c r="AV19" s="342"/>
      <c r="AW19" s="342"/>
      <c r="AX19" s="342"/>
      <c r="AY19" s="342"/>
      <c r="AZ19" s="342"/>
    </row>
    <row r="20" spans="1:52" x14ac:dyDescent="0.25">
      <c r="A20" s="330"/>
      <c r="B20" s="337" t="s">
        <v>404</v>
      </c>
      <c r="C20" s="338"/>
      <c r="D20" s="338"/>
      <c r="E20" s="338"/>
      <c r="F20" s="338"/>
      <c r="G20" s="338"/>
      <c r="H20" s="338"/>
      <c r="I20" s="338"/>
      <c r="J20" s="338"/>
      <c r="K20" s="338"/>
      <c r="L20" s="335"/>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41"/>
      <c r="AL20" s="341"/>
      <c r="AM20" s="341"/>
      <c r="AN20" s="341"/>
      <c r="AO20" s="341"/>
      <c r="AP20" s="341"/>
      <c r="AQ20" s="341"/>
      <c r="AR20" s="341"/>
      <c r="AS20" s="341"/>
      <c r="AT20" s="341"/>
      <c r="AU20" s="341"/>
      <c r="AV20" s="341"/>
      <c r="AW20" s="341"/>
      <c r="AX20" s="341"/>
      <c r="AY20" s="341"/>
      <c r="AZ20" s="341"/>
    </row>
    <row r="21" spans="1:52" x14ac:dyDescent="0.25">
      <c r="A21" s="330"/>
      <c r="B21" s="330"/>
      <c r="C21" s="333"/>
      <c r="D21" s="343"/>
      <c r="E21" s="343"/>
      <c r="F21" s="333"/>
      <c r="G21" s="334"/>
      <c r="H21" s="335"/>
      <c r="I21" s="330"/>
      <c r="J21" s="333"/>
      <c r="K21" s="334"/>
      <c r="L21" s="335"/>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4"/>
      <c r="AN21" s="344"/>
      <c r="AO21" s="344"/>
      <c r="AP21" s="344"/>
      <c r="AQ21" s="344"/>
      <c r="AR21" s="344"/>
      <c r="AS21" s="344"/>
      <c r="AT21" s="344"/>
      <c r="AU21" s="344"/>
      <c r="AV21" s="344"/>
      <c r="AW21" s="344"/>
      <c r="AX21" s="344"/>
      <c r="AY21" s="344"/>
      <c r="AZ21" s="344"/>
    </row>
    <row r="22" spans="1:52" x14ac:dyDescent="0.25">
      <c r="A22" s="330"/>
      <c r="B22" s="345" t="s">
        <v>342</v>
      </c>
      <c r="C22" s="334"/>
      <c r="D22" s="346"/>
      <c r="E22" s="346"/>
      <c r="F22" s="333"/>
      <c r="G22" s="334"/>
      <c r="H22" s="335"/>
      <c r="I22" s="330"/>
      <c r="J22" s="333"/>
      <c r="K22" s="334"/>
      <c r="L22" s="335"/>
      <c r="M22" s="347"/>
      <c r="N22" s="347"/>
      <c r="O22" s="347"/>
      <c r="P22" s="347"/>
      <c r="Q22" s="347"/>
      <c r="R22" s="347"/>
      <c r="S22" s="347"/>
      <c r="T22" s="347"/>
      <c r="U22" s="347"/>
      <c r="V22" s="347"/>
      <c r="W22" s="347"/>
      <c r="X22" s="347"/>
      <c r="Y22" s="347"/>
      <c r="Z22" s="347"/>
      <c r="AA22" s="347"/>
      <c r="AB22" s="347"/>
      <c r="AC22" s="347"/>
      <c r="AD22" s="347"/>
      <c r="AE22" s="347"/>
      <c r="AF22" s="347"/>
      <c r="AG22" s="347"/>
      <c r="AH22" s="347"/>
      <c r="AI22" s="347"/>
      <c r="AJ22" s="347"/>
      <c r="AK22" s="347"/>
      <c r="AL22" s="347"/>
      <c r="AM22" s="347"/>
      <c r="AN22" s="347"/>
      <c r="AO22" s="347"/>
      <c r="AP22" s="347"/>
      <c r="AQ22" s="347"/>
      <c r="AR22" s="347"/>
      <c r="AS22" s="347"/>
      <c r="AT22" s="347"/>
      <c r="AU22" s="347"/>
      <c r="AV22" s="347"/>
      <c r="AW22" s="347"/>
      <c r="AX22" s="347"/>
      <c r="AY22" s="347"/>
      <c r="AZ22" s="347"/>
    </row>
    <row r="23" spans="1:52" x14ac:dyDescent="0.25">
      <c r="A23" s="330"/>
      <c r="B23" s="330" t="s">
        <v>405</v>
      </c>
      <c r="C23" s="334"/>
      <c r="D23" s="346"/>
      <c r="E23" s="346"/>
      <c r="F23" s="333"/>
      <c r="G23" s="334"/>
      <c r="H23" s="335"/>
      <c r="I23" s="330"/>
      <c r="J23" s="333"/>
      <c r="K23" s="334"/>
      <c r="L23" s="335"/>
      <c r="M23" s="344"/>
      <c r="N23" s="344"/>
      <c r="O23" s="344"/>
      <c r="P23" s="344"/>
      <c r="Q23" s="344"/>
      <c r="R23" s="344"/>
      <c r="S23" s="344"/>
      <c r="T23" s="344"/>
      <c r="U23" s="344"/>
      <c r="V23" s="344"/>
      <c r="W23" s="344"/>
      <c r="X23" s="344"/>
      <c r="Y23" s="344"/>
      <c r="Z23" s="344"/>
      <c r="AA23" s="344"/>
      <c r="AB23" s="344"/>
      <c r="AC23" s="344"/>
      <c r="AD23" s="344"/>
      <c r="AE23" s="344"/>
      <c r="AF23" s="344"/>
      <c r="AG23" s="344"/>
      <c r="AH23" s="344"/>
      <c r="AI23" s="344"/>
      <c r="AJ23" s="344"/>
      <c r="AK23" s="344"/>
      <c r="AL23" s="344"/>
      <c r="AM23" s="344"/>
      <c r="AN23" s="344"/>
      <c r="AO23" s="344"/>
      <c r="AP23" s="344"/>
      <c r="AQ23" s="344"/>
      <c r="AR23" s="344"/>
      <c r="AS23" s="344"/>
      <c r="AT23" s="344"/>
      <c r="AU23" s="344"/>
      <c r="AV23" s="344"/>
      <c r="AW23" s="344"/>
      <c r="AX23" s="344"/>
      <c r="AY23" s="344"/>
      <c r="AZ23" s="344"/>
    </row>
    <row r="24" spans="1:52" x14ac:dyDescent="0.25">
      <c r="A24" s="330"/>
      <c r="B24" s="330"/>
      <c r="C24" s="334"/>
      <c r="D24" s="343"/>
      <c r="E24" s="343"/>
      <c r="F24" s="333"/>
      <c r="G24" s="334"/>
      <c r="H24" s="335"/>
      <c r="I24" s="330"/>
      <c r="J24" s="333"/>
      <c r="K24" s="334"/>
      <c r="L24" s="335"/>
      <c r="M24" s="344"/>
      <c r="N24" s="344"/>
      <c r="O24" s="344"/>
      <c r="P24" s="344"/>
      <c r="Q24" s="344"/>
      <c r="R24" s="344"/>
      <c r="S24" s="344"/>
      <c r="T24" s="344"/>
      <c r="U24" s="344"/>
      <c r="V24" s="344"/>
      <c r="W24" s="344"/>
      <c r="X24" s="344"/>
      <c r="Y24" s="344"/>
      <c r="Z24" s="344"/>
      <c r="AA24" s="344"/>
      <c r="AB24" s="344"/>
      <c r="AC24" s="344"/>
      <c r="AD24" s="344"/>
      <c r="AE24" s="344"/>
      <c r="AF24" s="344"/>
      <c r="AG24" s="344"/>
      <c r="AH24" s="344"/>
      <c r="AI24" s="344"/>
      <c r="AJ24" s="344"/>
      <c r="AK24" s="344"/>
      <c r="AL24" s="344"/>
      <c r="AM24" s="344"/>
      <c r="AN24" s="344"/>
      <c r="AO24" s="344"/>
      <c r="AP24" s="344"/>
      <c r="AQ24" s="344"/>
      <c r="AR24" s="344"/>
      <c r="AS24" s="344"/>
      <c r="AT24" s="344"/>
      <c r="AU24" s="344"/>
      <c r="AV24" s="344"/>
      <c r="AW24" s="344"/>
      <c r="AX24" s="344"/>
      <c r="AY24" s="344"/>
      <c r="AZ24" s="344"/>
    </row>
    <row r="25" spans="1:52" x14ac:dyDescent="0.25">
      <c r="A25" s="330"/>
      <c r="B25" s="345" t="s">
        <v>343</v>
      </c>
      <c r="C25" s="334"/>
      <c r="D25" s="346"/>
      <c r="E25" s="346"/>
      <c r="F25" s="333"/>
      <c r="G25" s="334"/>
      <c r="H25" s="335"/>
      <c r="I25" s="330"/>
      <c r="J25" s="333"/>
      <c r="K25" s="334"/>
      <c r="L25" s="335"/>
      <c r="M25" s="347"/>
      <c r="N25" s="347"/>
      <c r="O25" s="347"/>
      <c r="P25" s="347"/>
      <c r="Q25" s="347"/>
      <c r="R25" s="347"/>
      <c r="S25" s="347"/>
      <c r="T25" s="347"/>
      <c r="U25" s="347"/>
      <c r="V25" s="347"/>
      <c r="W25" s="347"/>
      <c r="X25" s="347"/>
      <c r="Y25" s="347"/>
      <c r="Z25" s="347"/>
      <c r="AA25" s="347"/>
      <c r="AB25" s="347"/>
      <c r="AC25" s="347"/>
      <c r="AD25" s="347"/>
      <c r="AE25" s="347"/>
      <c r="AF25" s="347"/>
      <c r="AG25" s="347"/>
      <c r="AH25" s="347"/>
      <c r="AI25" s="347"/>
      <c r="AJ25" s="347"/>
      <c r="AK25" s="347"/>
      <c r="AL25" s="347"/>
      <c r="AM25" s="347"/>
      <c r="AN25" s="347"/>
      <c r="AO25" s="347"/>
      <c r="AP25" s="347"/>
      <c r="AQ25" s="347"/>
      <c r="AR25" s="347"/>
      <c r="AS25" s="347"/>
      <c r="AT25" s="347"/>
      <c r="AU25" s="347"/>
      <c r="AV25" s="347"/>
      <c r="AW25" s="347"/>
      <c r="AX25" s="347"/>
      <c r="AY25" s="347"/>
      <c r="AZ25" s="347"/>
    </row>
    <row r="26" spans="1:52" x14ac:dyDescent="0.25">
      <c r="A26" s="330"/>
      <c r="B26" s="330"/>
      <c r="C26" s="334"/>
      <c r="D26" s="346"/>
      <c r="E26" s="346"/>
      <c r="F26" s="333"/>
      <c r="G26" s="334"/>
      <c r="H26" s="335"/>
      <c r="I26" s="330"/>
      <c r="J26" s="333"/>
      <c r="K26" s="334"/>
      <c r="L26" s="335"/>
      <c r="M26" s="342"/>
      <c r="N26" s="342"/>
      <c r="O26" s="342"/>
      <c r="P26" s="342"/>
      <c r="Q26" s="342"/>
      <c r="R26" s="342"/>
      <c r="S26" s="342"/>
      <c r="T26" s="342"/>
      <c r="U26" s="342"/>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342"/>
      <c r="AS26" s="342"/>
      <c r="AT26" s="342"/>
      <c r="AU26" s="342"/>
      <c r="AV26" s="342"/>
      <c r="AW26" s="342"/>
      <c r="AX26" s="342"/>
      <c r="AY26" s="342"/>
      <c r="AZ26" s="342"/>
    </row>
    <row r="27" spans="1:52" x14ac:dyDescent="0.25">
      <c r="A27" s="330"/>
      <c r="B27" s="348" t="s">
        <v>344</v>
      </c>
      <c r="C27" s="334"/>
      <c r="D27" s="343"/>
      <c r="E27" s="343"/>
      <c r="F27" s="333"/>
      <c r="G27" s="334"/>
      <c r="H27" s="335"/>
      <c r="I27" s="330"/>
      <c r="J27" s="330"/>
      <c r="K27" s="330"/>
      <c r="L27" s="330"/>
      <c r="M27" s="349"/>
      <c r="N27" s="349"/>
      <c r="O27" s="349"/>
      <c r="P27" s="349"/>
      <c r="Q27" s="349"/>
      <c r="R27" s="349"/>
      <c r="S27" s="349"/>
      <c r="T27" s="349"/>
      <c r="U27" s="349"/>
      <c r="V27" s="349"/>
      <c r="W27" s="349"/>
      <c r="X27" s="349"/>
      <c r="Y27" s="349"/>
      <c r="Z27" s="349"/>
      <c r="AA27" s="349"/>
      <c r="AB27" s="349"/>
      <c r="AC27" s="349"/>
      <c r="AD27" s="349"/>
      <c r="AE27" s="349"/>
      <c r="AF27" s="349"/>
      <c r="AG27" s="349"/>
      <c r="AH27" s="349"/>
      <c r="AI27" s="349"/>
      <c r="AJ27" s="349"/>
      <c r="AK27" s="349"/>
      <c r="AL27" s="349"/>
      <c r="AM27" s="349"/>
      <c r="AN27" s="349"/>
      <c r="AO27" s="349"/>
      <c r="AP27" s="349"/>
      <c r="AQ27" s="349"/>
      <c r="AR27" s="349"/>
      <c r="AS27" s="349"/>
      <c r="AT27" s="349"/>
      <c r="AU27" s="349"/>
      <c r="AV27" s="349"/>
      <c r="AW27" s="349"/>
      <c r="AX27" s="349"/>
      <c r="AY27" s="349"/>
      <c r="AZ27" s="349"/>
    </row>
    <row r="28" spans="1:52" x14ac:dyDescent="0.25">
      <c r="A28" s="330"/>
      <c r="B28" s="330"/>
      <c r="C28" s="334"/>
      <c r="D28" s="346"/>
      <c r="E28" s="346"/>
      <c r="F28" s="333"/>
      <c r="G28" s="334"/>
      <c r="H28" s="335"/>
      <c r="I28" s="330"/>
      <c r="J28" s="330"/>
      <c r="K28" s="330"/>
      <c r="L28" s="330"/>
      <c r="M28" s="350"/>
      <c r="N28" s="350"/>
      <c r="O28" s="350"/>
      <c r="P28" s="350"/>
      <c r="Q28" s="350"/>
      <c r="R28" s="350"/>
      <c r="S28" s="350"/>
      <c r="T28" s="350"/>
      <c r="U28" s="350"/>
      <c r="V28" s="350"/>
      <c r="W28" s="350"/>
      <c r="X28" s="350"/>
      <c r="Y28" s="350"/>
      <c r="Z28" s="350"/>
      <c r="AA28" s="350"/>
      <c r="AB28" s="350"/>
      <c r="AC28" s="350"/>
      <c r="AD28" s="350"/>
      <c r="AE28" s="350"/>
      <c r="AF28" s="350"/>
      <c r="AG28" s="350"/>
      <c r="AH28" s="350"/>
      <c r="AI28" s="350"/>
      <c r="AJ28" s="350"/>
      <c r="AK28" s="350"/>
      <c r="AL28" s="350"/>
      <c r="AM28" s="350"/>
      <c r="AN28" s="350"/>
      <c r="AO28" s="350"/>
      <c r="AP28" s="350"/>
      <c r="AQ28" s="350"/>
      <c r="AR28" s="350"/>
      <c r="AS28" s="350"/>
      <c r="AT28" s="350"/>
      <c r="AU28" s="350"/>
      <c r="AV28" s="350"/>
      <c r="AW28" s="350"/>
      <c r="AX28" s="350"/>
      <c r="AY28" s="350"/>
      <c r="AZ28" s="350"/>
    </row>
    <row r="29" spans="1:52" x14ac:dyDescent="0.25">
      <c r="A29" s="330"/>
      <c r="B29" s="348" t="s">
        <v>345</v>
      </c>
      <c r="C29" s="351"/>
      <c r="D29" s="346"/>
      <c r="E29" s="346"/>
      <c r="F29" s="333"/>
      <c r="G29" s="334"/>
      <c r="H29" s="335"/>
      <c r="I29" s="330"/>
      <c r="J29" s="330"/>
      <c r="K29" s="330"/>
      <c r="L29" s="330"/>
      <c r="M29" s="342"/>
      <c r="N29" s="342"/>
      <c r="O29" s="342"/>
      <c r="P29" s="342"/>
      <c r="Q29" s="342"/>
      <c r="R29" s="342"/>
      <c r="S29" s="342"/>
      <c r="T29" s="342"/>
      <c r="U29" s="342"/>
      <c r="V29" s="342"/>
      <c r="W29" s="342"/>
      <c r="X29" s="342"/>
      <c r="Y29" s="342"/>
      <c r="Z29" s="342"/>
      <c r="AA29" s="342"/>
      <c r="AB29" s="342"/>
      <c r="AC29" s="342"/>
      <c r="AD29" s="342"/>
      <c r="AE29" s="342"/>
      <c r="AF29" s="342"/>
      <c r="AG29" s="342"/>
      <c r="AH29" s="342"/>
      <c r="AI29" s="342"/>
      <c r="AJ29" s="342"/>
      <c r="AK29" s="342"/>
      <c r="AL29" s="342"/>
      <c r="AM29" s="342"/>
      <c r="AN29" s="342"/>
      <c r="AO29" s="342"/>
      <c r="AP29" s="342"/>
      <c r="AQ29" s="342"/>
      <c r="AR29" s="342"/>
      <c r="AS29" s="342"/>
      <c r="AT29" s="342"/>
      <c r="AU29" s="342"/>
      <c r="AV29" s="342"/>
      <c r="AW29" s="342"/>
      <c r="AX29" s="342"/>
      <c r="AY29" s="342"/>
      <c r="AZ29" s="342"/>
    </row>
    <row r="30" spans="1:52" x14ac:dyDescent="0.25">
      <c r="A30" s="330"/>
      <c r="B30" s="348"/>
      <c r="C30" s="334"/>
      <c r="D30" s="343"/>
      <c r="E30" s="343"/>
      <c r="F30" s="333"/>
      <c r="G30" s="334"/>
      <c r="H30" s="335"/>
      <c r="I30" s="330"/>
      <c r="J30" s="330"/>
      <c r="K30" s="330"/>
      <c r="L30" s="330"/>
      <c r="M30" s="349"/>
      <c r="N30" s="349"/>
      <c r="O30" s="349"/>
      <c r="P30" s="349"/>
      <c r="Q30" s="349"/>
      <c r="R30" s="349"/>
      <c r="S30" s="349"/>
      <c r="T30" s="349"/>
      <c r="U30" s="349"/>
      <c r="V30" s="349"/>
      <c r="W30" s="349"/>
      <c r="X30" s="349"/>
      <c r="Y30" s="349"/>
      <c r="Z30" s="349"/>
      <c r="AA30" s="349"/>
      <c r="AB30" s="349"/>
      <c r="AC30" s="349"/>
      <c r="AD30" s="349"/>
      <c r="AE30" s="349"/>
      <c r="AF30" s="349"/>
      <c r="AG30" s="349"/>
      <c r="AH30" s="349"/>
      <c r="AI30" s="349"/>
      <c r="AJ30" s="349"/>
      <c r="AK30" s="349"/>
      <c r="AL30" s="349"/>
      <c r="AM30" s="349"/>
      <c r="AN30" s="349"/>
      <c r="AO30" s="349"/>
      <c r="AP30" s="349"/>
      <c r="AQ30" s="349"/>
      <c r="AR30" s="349"/>
      <c r="AS30" s="349"/>
      <c r="AT30" s="349"/>
      <c r="AU30" s="349"/>
      <c r="AV30" s="349"/>
      <c r="AW30" s="349"/>
      <c r="AX30" s="349"/>
      <c r="AY30" s="349"/>
      <c r="AZ30" s="349"/>
    </row>
    <row r="31" spans="1:52" x14ac:dyDescent="0.25">
      <c r="A31" s="330"/>
      <c r="B31" s="348" t="s">
        <v>346</v>
      </c>
      <c r="C31" s="351"/>
      <c r="D31" s="346"/>
      <c r="E31" s="346"/>
      <c r="F31" s="333"/>
      <c r="G31" s="334"/>
      <c r="H31" s="335"/>
      <c r="I31" s="330"/>
      <c r="J31" s="330"/>
      <c r="K31" s="330"/>
      <c r="L31" s="330"/>
      <c r="M31" s="350"/>
      <c r="N31" s="350"/>
      <c r="O31" s="350"/>
      <c r="P31" s="350"/>
      <c r="Q31" s="350"/>
      <c r="R31" s="350"/>
      <c r="S31" s="350"/>
      <c r="T31" s="350"/>
      <c r="U31" s="350"/>
      <c r="V31" s="350"/>
      <c r="W31" s="350"/>
      <c r="X31" s="350"/>
      <c r="Y31" s="350"/>
      <c r="Z31" s="350"/>
      <c r="AA31" s="350"/>
      <c r="AB31" s="350"/>
      <c r="AC31" s="350"/>
      <c r="AD31" s="350"/>
      <c r="AE31" s="350"/>
      <c r="AF31" s="350"/>
      <c r="AG31" s="350"/>
      <c r="AH31" s="350"/>
      <c r="AI31" s="350"/>
      <c r="AJ31" s="350"/>
      <c r="AK31" s="350"/>
      <c r="AL31" s="350"/>
      <c r="AM31" s="350"/>
      <c r="AN31" s="350"/>
      <c r="AO31" s="350"/>
      <c r="AP31" s="350"/>
      <c r="AQ31" s="350"/>
      <c r="AR31" s="350"/>
      <c r="AS31" s="350"/>
      <c r="AT31" s="350"/>
      <c r="AU31" s="350"/>
      <c r="AV31" s="350"/>
      <c r="AW31" s="350"/>
      <c r="AX31" s="350"/>
      <c r="AY31" s="350"/>
      <c r="AZ31" s="350"/>
    </row>
    <row r="32" spans="1:52" x14ac:dyDescent="0.25">
      <c r="A32" s="330"/>
      <c r="B32" s="348" t="s">
        <v>347</v>
      </c>
      <c r="C32" s="343"/>
      <c r="D32" s="346"/>
      <c r="E32" s="346"/>
      <c r="F32" s="333"/>
      <c r="G32" s="334"/>
      <c r="H32" s="335"/>
      <c r="I32" s="330"/>
      <c r="J32" s="330"/>
      <c r="K32" s="330"/>
      <c r="L32" s="330"/>
      <c r="M32" s="351"/>
      <c r="N32" s="351"/>
      <c r="O32" s="351"/>
      <c r="P32" s="351"/>
      <c r="Q32" s="351"/>
      <c r="R32" s="351"/>
      <c r="S32" s="351"/>
      <c r="T32" s="351"/>
      <c r="U32" s="351"/>
      <c r="V32" s="351"/>
      <c r="W32" s="351"/>
      <c r="X32" s="351"/>
      <c r="Y32" s="351"/>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row>
    <row r="33" spans="1:52" x14ac:dyDescent="0.25">
      <c r="A33" s="330"/>
      <c r="B33" s="348"/>
      <c r="C33" s="333"/>
      <c r="D33" s="343"/>
      <c r="E33" s="343"/>
      <c r="F33" s="333"/>
      <c r="G33" s="334"/>
      <c r="H33" s="335"/>
      <c r="I33" s="330"/>
      <c r="J33" s="330"/>
      <c r="K33" s="330"/>
      <c r="L33" s="330"/>
      <c r="M33" s="349"/>
      <c r="N33" s="349"/>
      <c r="O33" s="349"/>
      <c r="P33" s="349"/>
      <c r="Q33" s="349"/>
      <c r="R33" s="349"/>
      <c r="S33" s="349"/>
      <c r="T33" s="349"/>
      <c r="U33" s="349"/>
      <c r="V33" s="349"/>
      <c r="W33" s="349"/>
      <c r="X33" s="349"/>
      <c r="Y33" s="349"/>
      <c r="Z33" s="349"/>
      <c r="AA33" s="349"/>
      <c r="AB33" s="349"/>
      <c r="AC33" s="349"/>
      <c r="AD33" s="349"/>
      <c r="AE33" s="349"/>
      <c r="AF33" s="349"/>
      <c r="AG33" s="349"/>
      <c r="AH33" s="349"/>
      <c r="AI33" s="349"/>
      <c r="AJ33" s="349"/>
      <c r="AK33" s="349"/>
      <c r="AL33" s="349"/>
      <c r="AM33" s="349"/>
      <c r="AN33" s="349"/>
      <c r="AO33" s="349"/>
      <c r="AP33" s="349"/>
      <c r="AQ33" s="349"/>
      <c r="AR33" s="349"/>
      <c r="AS33" s="349"/>
      <c r="AT33" s="349"/>
      <c r="AU33" s="349"/>
      <c r="AV33" s="349"/>
      <c r="AW33" s="349"/>
      <c r="AX33" s="349"/>
      <c r="AY33" s="349"/>
      <c r="AZ33" s="349"/>
    </row>
    <row r="34" spans="1:52" x14ac:dyDescent="0.25">
      <c r="A34" s="330"/>
      <c r="B34" s="348" t="s">
        <v>406</v>
      </c>
      <c r="C34" s="351"/>
      <c r="D34" s="346"/>
      <c r="E34" s="346"/>
      <c r="F34" s="333"/>
      <c r="G34" s="334"/>
      <c r="H34" s="335"/>
      <c r="I34" s="330"/>
      <c r="J34" s="330"/>
      <c r="K34" s="330"/>
      <c r="L34" s="330"/>
      <c r="M34" s="350"/>
      <c r="N34" s="350"/>
      <c r="O34" s="350"/>
      <c r="P34" s="350"/>
      <c r="Q34" s="350"/>
      <c r="R34" s="350"/>
      <c r="S34" s="350"/>
      <c r="T34" s="350"/>
      <c r="U34" s="350"/>
      <c r="V34" s="350"/>
      <c r="W34" s="350"/>
      <c r="X34" s="350"/>
      <c r="Y34" s="350"/>
      <c r="Z34" s="350"/>
      <c r="AA34" s="350"/>
      <c r="AB34" s="350"/>
      <c r="AC34" s="350"/>
      <c r="AD34" s="350"/>
      <c r="AE34" s="350"/>
      <c r="AF34" s="350"/>
      <c r="AG34" s="350"/>
      <c r="AH34" s="350"/>
      <c r="AI34" s="350"/>
      <c r="AJ34" s="350"/>
      <c r="AK34" s="350"/>
      <c r="AL34" s="350"/>
      <c r="AM34" s="350"/>
      <c r="AN34" s="350"/>
      <c r="AO34" s="350"/>
      <c r="AP34" s="350"/>
      <c r="AQ34" s="350"/>
      <c r="AR34" s="350"/>
      <c r="AS34" s="350"/>
      <c r="AT34" s="350"/>
      <c r="AU34" s="350"/>
      <c r="AV34" s="350"/>
      <c r="AW34" s="350"/>
      <c r="AX34" s="350"/>
      <c r="AY34" s="350"/>
      <c r="AZ34" s="350"/>
    </row>
    <row r="35" spans="1:52" x14ac:dyDescent="0.25">
      <c r="A35" s="330"/>
      <c r="B35" s="348" t="s">
        <v>348</v>
      </c>
      <c r="C35" s="351"/>
      <c r="D35" s="346"/>
      <c r="E35" s="346"/>
      <c r="F35" s="333"/>
      <c r="G35" s="334"/>
      <c r="H35" s="335"/>
      <c r="I35" s="330"/>
      <c r="J35" s="330"/>
      <c r="K35" s="330"/>
      <c r="L35" s="330"/>
      <c r="M35" s="351"/>
      <c r="N35" s="351"/>
      <c r="O35" s="351"/>
      <c r="P35" s="351"/>
      <c r="Q35" s="351"/>
      <c r="R35" s="351"/>
      <c r="S35" s="351"/>
      <c r="T35" s="351"/>
      <c r="U35" s="351"/>
      <c r="V35" s="351"/>
      <c r="W35" s="351"/>
      <c r="X35" s="351"/>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row>
    <row r="36" spans="1:52" x14ac:dyDescent="0.25">
      <c r="A36" s="330"/>
      <c r="B36" s="333"/>
      <c r="C36" s="333"/>
      <c r="D36" s="343"/>
      <c r="E36" s="343"/>
      <c r="F36" s="333"/>
      <c r="G36" s="334"/>
      <c r="H36" s="335"/>
      <c r="I36" s="330"/>
      <c r="J36" s="333"/>
      <c r="K36" s="334"/>
      <c r="L36" s="352"/>
      <c r="M36" s="344"/>
      <c r="N36" s="344"/>
      <c r="O36" s="344"/>
      <c r="P36" s="344"/>
      <c r="Q36" s="344"/>
      <c r="R36" s="344"/>
      <c r="S36" s="344"/>
      <c r="T36" s="344"/>
      <c r="U36" s="344"/>
      <c r="V36" s="344"/>
      <c r="W36" s="344"/>
      <c r="X36" s="344"/>
      <c r="Y36" s="344"/>
      <c r="Z36" s="344"/>
      <c r="AA36" s="344"/>
      <c r="AB36" s="344"/>
      <c r="AC36" s="344"/>
      <c r="AD36" s="344"/>
      <c r="AE36" s="344"/>
      <c r="AF36" s="344"/>
      <c r="AG36" s="344"/>
      <c r="AH36" s="344"/>
      <c r="AI36" s="344"/>
      <c r="AJ36" s="344"/>
      <c r="AK36" s="344"/>
      <c r="AL36" s="344"/>
      <c r="AM36" s="344"/>
      <c r="AN36" s="344"/>
      <c r="AO36" s="344"/>
      <c r="AP36" s="344"/>
      <c r="AQ36" s="344"/>
      <c r="AR36" s="344"/>
      <c r="AS36" s="344"/>
      <c r="AT36" s="344"/>
      <c r="AU36" s="344"/>
      <c r="AV36" s="344"/>
      <c r="AW36" s="344"/>
      <c r="AX36" s="344"/>
      <c r="AY36" s="344"/>
      <c r="AZ36" s="344"/>
    </row>
    <row r="37" spans="1:52" x14ac:dyDescent="0.25">
      <c r="A37" s="330"/>
      <c r="B37" s="351"/>
      <c r="C37" s="351"/>
      <c r="D37" s="346"/>
      <c r="E37" s="346"/>
      <c r="F37" s="333"/>
      <c r="G37" s="334"/>
      <c r="H37" s="335"/>
      <c r="I37" s="330"/>
      <c r="J37" s="333"/>
      <c r="K37" s="334"/>
      <c r="L37" s="352"/>
      <c r="M37" s="347"/>
      <c r="N37" s="347"/>
      <c r="O37" s="347"/>
      <c r="P37" s="347"/>
      <c r="Q37" s="347"/>
      <c r="R37" s="347"/>
      <c r="S37" s="347"/>
      <c r="T37" s="347"/>
      <c r="U37" s="347"/>
      <c r="V37" s="347"/>
      <c r="W37" s="347"/>
      <c r="X37" s="347"/>
      <c r="Y37" s="347"/>
      <c r="Z37" s="347"/>
      <c r="AA37" s="347"/>
      <c r="AB37" s="347"/>
      <c r="AC37" s="347"/>
      <c r="AD37" s="347"/>
      <c r="AE37" s="347"/>
      <c r="AF37" s="347"/>
      <c r="AG37" s="347"/>
      <c r="AH37" s="347"/>
      <c r="AI37" s="347"/>
      <c r="AJ37" s="347"/>
      <c r="AK37" s="347"/>
      <c r="AL37" s="347"/>
      <c r="AM37" s="347"/>
      <c r="AN37" s="347"/>
      <c r="AO37" s="347"/>
      <c r="AP37" s="347"/>
      <c r="AQ37" s="347"/>
      <c r="AR37" s="347"/>
      <c r="AS37" s="347"/>
      <c r="AT37" s="347"/>
      <c r="AU37" s="347"/>
      <c r="AV37" s="347"/>
      <c r="AW37" s="347"/>
      <c r="AX37" s="347"/>
      <c r="AY37" s="347"/>
      <c r="AZ37" s="347"/>
    </row>
    <row r="38" spans="1:52" x14ac:dyDescent="0.25">
      <c r="A38" s="330"/>
      <c r="B38" s="351"/>
      <c r="C38" s="351"/>
      <c r="D38" s="353"/>
      <c r="E38" s="353"/>
      <c r="F38" s="333"/>
      <c r="G38" s="354"/>
      <c r="H38" s="335"/>
      <c r="I38" s="330"/>
      <c r="J38" s="333"/>
      <c r="K38" s="334"/>
      <c r="L38" s="352"/>
      <c r="M38" s="341"/>
      <c r="N38" s="341"/>
      <c r="O38" s="341"/>
      <c r="P38" s="341"/>
      <c r="Q38" s="341"/>
      <c r="R38" s="341"/>
      <c r="S38" s="341"/>
      <c r="T38" s="341"/>
      <c r="U38" s="341"/>
      <c r="V38" s="341"/>
      <c r="W38" s="341"/>
      <c r="X38" s="341"/>
      <c r="Y38" s="341"/>
      <c r="Z38" s="341"/>
      <c r="AA38" s="341"/>
      <c r="AB38" s="341"/>
      <c r="AC38" s="341"/>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row>
    <row r="39" spans="1:52" x14ac:dyDescent="0.25">
      <c r="A39" s="330"/>
      <c r="B39" s="355"/>
      <c r="C39" s="355"/>
      <c r="D39" s="344"/>
      <c r="E39" s="344"/>
      <c r="F39" s="351"/>
      <c r="G39" s="351"/>
      <c r="H39" s="351"/>
      <c r="I39" s="356"/>
      <c r="J39" s="333"/>
      <c r="K39" s="334"/>
      <c r="L39" s="352"/>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344"/>
      <c r="AK39" s="344"/>
      <c r="AL39" s="344"/>
      <c r="AM39" s="344"/>
      <c r="AN39" s="344"/>
      <c r="AO39" s="344"/>
      <c r="AP39" s="344"/>
      <c r="AQ39" s="344"/>
      <c r="AR39" s="344"/>
      <c r="AS39" s="344"/>
      <c r="AT39" s="344"/>
      <c r="AU39" s="344"/>
      <c r="AV39" s="344"/>
      <c r="AW39" s="344"/>
      <c r="AX39" s="344"/>
      <c r="AY39" s="344"/>
      <c r="AZ39" s="344"/>
    </row>
    <row r="40" spans="1:52" x14ac:dyDescent="0.25">
      <c r="A40" s="330"/>
      <c r="B40" s="340"/>
      <c r="C40" s="340"/>
      <c r="D40" s="340"/>
      <c r="E40" s="340"/>
      <c r="F40" s="347"/>
      <c r="G40" s="347"/>
      <c r="H40" s="347"/>
      <c r="I40" s="347"/>
      <c r="J40" s="333"/>
      <c r="K40" s="334"/>
      <c r="L40" s="352"/>
      <c r="M40" s="347"/>
      <c r="N40" s="347"/>
      <c r="O40" s="347"/>
      <c r="P40" s="347"/>
      <c r="Q40" s="347"/>
      <c r="R40" s="347"/>
      <c r="S40" s="347"/>
      <c r="T40" s="347"/>
      <c r="U40" s="347"/>
      <c r="V40" s="347"/>
      <c r="W40" s="347"/>
      <c r="X40" s="347"/>
      <c r="Y40" s="347"/>
      <c r="Z40" s="347"/>
      <c r="AA40" s="347"/>
      <c r="AB40" s="347"/>
      <c r="AC40" s="347"/>
      <c r="AD40" s="347"/>
      <c r="AE40" s="347"/>
      <c r="AF40" s="347"/>
      <c r="AG40" s="347"/>
      <c r="AH40" s="347"/>
      <c r="AI40" s="347"/>
      <c r="AJ40" s="347"/>
      <c r="AK40" s="347"/>
      <c r="AL40" s="347"/>
      <c r="AM40" s="347"/>
      <c r="AN40" s="347"/>
      <c r="AO40" s="347"/>
      <c r="AP40" s="347"/>
      <c r="AQ40" s="347"/>
      <c r="AR40" s="347"/>
      <c r="AS40" s="347"/>
      <c r="AT40" s="347"/>
      <c r="AU40" s="347"/>
      <c r="AV40" s="347"/>
      <c r="AW40" s="347"/>
      <c r="AX40" s="347"/>
      <c r="AY40" s="347"/>
      <c r="AZ40" s="347"/>
    </row>
    <row r="41" spans="1:52" x14ac:dyDescent="0.25">
      <c r="A41" s="330"/>
      <c r="B41" s="351"/>
      <c r="C41" s="351"/>
      <c r="D41" s="357"/>
      <c r="E41" s="357"/>
      <c r="F41" s="357"/>
      <c r="G41" s="357"/>
      <c r="H41" s="357"/>
      <c r="I41" s="340"/>
      <c r="J41" s="333"/>
      <c r="K41" s="334"/>
      <c r="L41" s="352"/>
      <c r="M41" s="341"/>
      <c r="N41" s="341"/>
      <c r="O41" s="341"/>
      <c r="P41" s="341"/>
      <c r="Q41" s="341"/>
      <c r="R41" s="341"/>
      <c r="S41" s="341"/>
      <c r="T41" s="341"/>
      <c r="U41" s="341"/>
      <c r="V41" s="341"/>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341"/>
      <c r="AX41" s="341"/>
      <c r="AY41" s="341"/>
      <c r="AZ41" s="341"/>
    </row>
    <row r="42" spans="1:52" x14ac:dyDescent="0.25">
      <c r="A42" s="330"/>
      <c r="B42" s="355"/>
      <c r="C42" s="355"/>
      <c r="D42" s="350"/>
      <c r="E42" s="350"/>
      <c r="F42" s="350"/>
      <c r="G42" s="350"/>
      <c r="H42" s="350"/>
      <c r="I42" s="350"/>
      <c r="J42" s="333"/>
      <c r="K42" s="334"/>
      <c r="L42" s="352"/>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0"/>
      <c r="AY42" s="350"/>
      <c r="AZ42" s="350"/>
    </row>
    <row r="43" spans="1:52" x14ac:dyDescent="0.25">
      <c r="A43" s="330"/>
      <c r="B43" s="340"/>
      <c r="C43" s="340"/>
      <c r="D43" s="357"/>
      <c r="E43" s="357"/>
      <c r="F43" s="357"/>
      <c r="G43" s="357"/>
      <c r="H43" s="357"/>
      <c r="I43" s="340"/>
      <c r="J43" s="333"/>
      <c r="K43" s="334"/>
      <c r="L43" s="352"/>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344"/>
      <c r="AK43" s="344"/>
      <c r="AL43" s="344"/>
      <c r="AM43" s="344"/>
      <c r="AN43" s="344"/>
      <c r="AO43" s="344"/>
      <c r="AP43" s="344"/>
      <c r="AQ43" s="344"/>
      <c r="AR43" s="344"/>
      <c r="AS43" s="344"/>
      <c r="AT43" s="344"/>
      <c r="AU43" s="344"/>
      <c r="AV43" s="344"/>
      <c r="AW43" s="344"/>
      <c r="AX43" s="344"/>
      <c r="AY43" s="344"/>
      <c r="AZ43" s="344"/>
    </row>
    <row r="44" spans="1:52" x14ac:dyDescent="0.25">
      <c r="A44" s="330"/>
      <c r="B44" s="355"/>
      <c r="C44" s="355"/>
      <c r="D44" s="344"/>
      <c r="E44" s="344"/>
      <c r="F44" s="349"/>
      <c r="G44" s="349"/>
      <c r="H44" s="349"/>
      <c r="I44" s="349"/>
      <c r="J44" s="333"/>
      <c r="K44" s="334"/>
      <c r="L44" s="352"/>
      <c r="M44" s="349"/>
      <c r="N44" s="349"/>
      <c r="O44" s="349"/>
      <c r="P44" s="349"/>
      <c r="Q44" s="349"/>
      <c r="R44" s="349"/>
      <c r="S44" s="349"/>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c r="AW44" s="349"/>
      <c r="AX44" s="349"/>
      <c r="AY44" s="349"/>
      <c r="AZ44" s="349"/>
    </row>
    <row r="45" spans="1:52" x14ac:dyDescent="0.25">
      <c r="A45" s="330"/>
      <c r="B45" s="355"/>
      <c r="C45" s="355"/>
      <c r="D45" s="344"/>
      <c r="E45" s="344"/>
      <c r="F45" s="349"/>
      <c r="G45" s="349"/>
      <c r="H45" s="349"/>
      <c r="I45" s="349"/>
      <c r="J45" s="333"/>
      <c r="K45" s="334"/>
      <c r="L45" s="352"/>
      <c r="M45" s="349"/>
      <c r="N45" s="349"/>
      <c r="O45" s="349"/>
      <c r="P45" s="349"/>
      <c r="Q45" s="349"/>
      <c r="R45" s="349"/>
      <c r="S45" s="349"/>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49"/>
      <c r="AY45" s="349"/>
      <c r="AZ45" s="349"/>
    </row>
    <row r="46" spans="1:52" x14ac:dyDescent="0.25">
      <c r="A46" s="330"/>
      <c r="B46" s="355"/>
      <c r="C46" s="355"/>
      <c r="D46" s="344"/>
      <c r="E46" s="344"/>
      <c r="F46" s="349"/>
      <c r="G46" s="349"/>
      <c r="H46" s="349"/>
      <c r="I46" s="349"/>
      <c r="J46" s="333"/>
      <c r="K46" s="334"/>
      <c r="L46" s="352"/>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row>
    <row r="47" spans="1:52" x14ac:dyDescent="0.25">
      <c r="A47" s="330"/>
      <c r="B47" s="355"/>
      <c r="C47" s="355"/>
      <c r="D47" s="344"/>
      <c r="E47" s="344"/>
      <c r="F47" s="349"/>
      <c r="G47" s="349"/>
      <c r="H47" s="349"/>
      <c r="I47" s="349"/>
      <c r="J47" s="333"/>
      <c r="K47" s="334"/>
      <c r="L47" s="352"/>
      <c r="M47" s="349"/>
      <c r="N47" s="349"/>
      <c r="O47" s="349"/>
      <c r="P47" s="349"/>
      <c r="Q47" s="349"/>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row>
    <row r="48" spans="1:52" x14ac:dyDescent="0.25">
      <c r="A48" s="330"/>
      <c r="B48" s="355"/>
      <c r="C48" s="355"/>
      <c r="D48" s="344"/>
      <c r="E48" s="344"/>
      <c r="F48" s="349"/>
      <c r="G48" s="349"/>
      <c r="H48" s="349"/>
      <c r="I48" s="349"/>
      <c r="J48" s="333"/>
      <c r="K48" s="334"/>
      <c r="L48" s="352"/>
      <c r="M48" s="349"/>
      <c r="N48" s="349"/>
      <c r="O48" s="349"/>
      <c r="P48" s="349"/>
      <c r="Q48" s="349"/>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row>
    <row r="49" spans="1:52" x14ac:dyDescent="0.25">
      <c r="A49" s="330"/>
      <c r="B49" s="355"/>
      <c r="C49" s="355"/>
      <c r="D49" s="344"/>
      <c r="E49" s="344"/>
      <c r="F49" s="349"/>
      <c r="G49" s="349"/>
      <c r="H49" s="349"/>
      <c r="I49" s="349"/>
      <c r="J49" s="333"/>
      <c r="K49" s="334"/>
      <c r="L49" s="352"/>
      <c r="M49" s="349"/>
      <c r="N49" s="349"/>
      <c r="O49" s="349"/>
      <c r="P49" s="349"/>
      <c r="Q49" s="349"/>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349"/>
      <c r="AY49" s="349"/>
      <c r="AZ49" s="349"/>
    </row>
    <row r="50" spans="1:52" x14ac:dyDescent="0.25">
      <c r="A50" s="330"/>
      <c r="B50" s="355"/>
      <c r="C50" s="355"/>
      <c r="D50" s="344"/>
      <c r="E50" s="344"/>
      <c r="F50" s="349"/>
      <c r="G50" s="349"/>
      <c r="H50" s="349"/>
      <c r="I50" s="349"/>
      <c r="J50" s="333"/>
      <c r="K50" s="334"/>
      <c r="L50" s="352"/>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row>
    <row r="51" spans="1:52" x14ac:dyDescent="0.25">
      <c r="A51" s="330"/>
      <c r="B51" s="355"/>
      <c r="C51" s="355"/>
      <c r="D51" s="344"/>
      <c r="E51" s="344"/>
      <c r="F51" s="349"/>
      <c r="G51" s="349"/>
      <c r="H51" s="349"/>
      <c r="I51" s="349"/>
      <c r="J51" s="333"/>
      <c r="K51" s="334"/>
      <c r="L51" s="352"/>
      <c r="M51" s="349"/>
      <c r="N51" s="349"/>
      <c r="O51" s="349"/>
      <c r="P51" s="349"/>
      <c r="Q51" s="349"/>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row>
    <row r="52" spans="1:52" x14ac:dyDescent="0.25">
      <c r="A52" s="330"/>
      <c r="B52" s="355"/>
      <c r="C52" s="355"/>
      <c r="D52" s="344"/>
      <c r="E52" s="344"/>
      <c r="F52" s="349"/>
      <c r="G52" s="349"/>
      <c r="H52" s="349"/>
      <c r="I52" s="349"/>
      <c r="J52" s="333"/>
      <c r="K52" s="334"/>
      <c r="L52" s="352"/>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row>
    <row r="53" spans="1:52" x14ac:dyDescent="0.25">
      <c r="A53" s="330"/>
      <c r="B53" s="355"/>
      <c r="C53" s="355"/>
      <c r="D53" s="344"/>
      <c r="E53" s="344"/>
      <c r="F53" s="349"/>
      <c r="G53" s="349"/>
      <c r="H53" s="349"/>
      <c r="I53" s="349"/>
      <c r="J53" s="333"/>
      <c r="K53" s="334"/>
      <c r="L53" s="352"/>
      <c r="M53" s="349"/>
      <c r="N53" s="349"/>
      <c r="O53" s="349"/>
      <c r="P53" s="349"/>
      <c r="Q53" s="349"/>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row>
    <row r="54" spans="1:52" x14ac:dyDescent="0.25">
      <c r="A54" s="330"/>
      <c r="B54" s="355"/>
      <c r="C54" s="355"/>
      <c r="D54" s="344"/>
      <c r="E54" s="344"/>
      <c r="F54" s="349"/>
      <c r="G54" s="349"/>
      <c r="H54" s="349"/>
      <c r="I54" s="349"/>
      <c r="J54" s="333"/>
      <c r="K54" s="334"/>
      <c r="L54" s="352"/>
      <c r="M54" s="349"/>
      <c r="N54" s="349"/>
      <c r="O54" s="349"/>
      <c r="P54" s="349"/>
      <c r="Q54" s="349"/>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49"/>
      <c r="AY54" s="349"/>
      <c r="AZ54" s="349"/>
    </row>
    <row r="55" spans="1:52" x14ac:dyDescent="0.25">
      <c r="A55" s="330"/>
      <c r="B55" s="355"/>
      <c r="C55" s="355"/>
      <c r="D55" s="344"/>
      <c r="E55" s="344"/>
      <c r="F55" s="349"/>
      <c r="G55" s="349"/>
      <c r="H55" s="349"/>
      <c r="I55" s="349"/>
      <c r="J55" s="333"/>
      <c r="K55" s="334"/>
      <c r="L55" s="352"/>
      <c r="M55" s="349"/>
      <c r="N55" s="349"/>
      <c r="O55" s="349"/>
      <c r="P55" s="349"/>
      <c r="Q55" s="349"/>
      <c r="R55" s="349"/>
      <c r="S55" s="349"/>
      <c r="T55" s="349"/>
      <c r="U55" s="349"/>
      <c r="V55" s="349"/>
      <c r="W55" s="349"/>
      <c r="X55" s="349"/>
      <c r="Y55" s="349"/>
      <c r="Z55" s="349"/>
      <c r="AA55" s="349"/>
      <c r="AB55" s="349"/>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49"/>
      <c r="AY55" s="349"/>
      <c r="AZ55" s="349"/>
    </row>
    <row r="56" spans="1:52" x14ac:dyDescent="0.25">
      <c r="A56" s="330"/>
      <c r="B56" s="355"/>
      <c r="C56" s="355"/>
      <c r="D56" s="344"/>
      <c r="E56" s="344"/>
      <c r="F56" s="349"/>
      <c r="G56" s="349"/>
      <c r="H56" s="349"/>
      <c r="I56" s="349"/>
      <c r="J56" s="333"/>
      <c r="K56" s="334"/>
      <c r="L56" s="352"/>
      <c r="M56" s="349"/>
      <c r="N56" s="349"/>
      <c r="O56" s="349"/>
      <c r="P56" s="349"/>
      <c r="Q56" s="349"/>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49"/>
      <c r="AY56" s="349"/>
      <c r="AZ56" s="349"/>
    </row>
    <row r="57" spans="1:52" x14ac:dyDescent="0.25">
      <c r="A57" s="330"/>
      <c r="B57" s="355"/>
      <c r="C57" s="355"/>
      <c r="D57" s="344"/>
      <c r="E57" s="344"/>
      <c r="F57" s="349"/>
      <c r="G57" s="349"/>
      <c r="H57" s="349"/>
      <c r="I57" s="349"/>
      <c r="J57" s="333"/>
      <c r="K57" s="334"/>
      <c r="L57" s="352"/>
      <c r="M57" s="349"/>
      <c r="N57" s="349"/>
      <c r="O57" s="349"/>
      <c r="P57" s="349"/>
      <c r="Q57" s="349"/>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349"/>
      <c r="AY57" s="349"/>
      <c r="AZ57" s="349"/>
    </row>
    <row r="58" spans="1:52" x14ac:dyDescent="0.25">
      <c r="A58" s="330"/>
      <c r="B58" s="355"/>
      <c r="C58" s="355"/>
      <c r="D58" s="344"/>
      <c r="E58" s="344"/>
      <c r="F58" s="349"/>
      <c r="G58" s="349"/>
      <c r="H58" s="349"/>
      <c r="I58" s="349"/>
      <c r="J58" s="333"/>
      <c r="K58" s="334"/>
      <c r="L58" s="352"/>
      <c r="M58" s="349"/>
      <c r="N58" s="349"/>
      <c r="O58" s="349"/>
      <c r="P58" s="349"/>
      <c r="Q58" s="349"/>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row>
    <row r="59" spans="1:52" x14ac:dyDescent="0.25">
      <c r="A59" s="330"/>
      <c r="B59" s="355"/>
      <c r="C59" s="355"/>
      <c r="D59" s="344"/>
      <c r="E59" s="344"/>
      <c r="F59" s="349"/>
      <c r="G59" s="349"/>
      <c r="H59" s="349"/>
      <c r="I59" s="349"/>
      <c r="J59" s="333"/>
      <c r="K59" s="334"/>
      <c r="L59" s="352"/>
      <c r="M59" s="349"/>
      <c r="N59" s="349"/>
      <c r="O59" s="349"/>
      <c r="P59" s="349"/>
      <c r="Q59" s="349"/>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O59" s="349"/>
      <c r="AP59" s="349"/>
      <c r="AQ59" s="349"/>
      <c r="AR59" s="349"/>
      <c r="AS59" s="349"/>
      <c r="AT59" s="349"/>
      <c r="AU59" s="349"/>
      <c r="AV59" s="349"/>
      <c r="AW59" s="349"/>
      <c r="AX59" s="349"/>
      <c r="AY59" s="349"/>
      <c r="AZ59" s="349"/>
    </row>
    <row r="60" spans="1:52" x14ac:dyDescent="0.25">
      <c r="A60" s="330"/>
      <c r="B60" s="355"/>
      <c r="C60" s="355"/>
      <c r="D60" s="344"/>
      <c r="E60" s="344"/>
      <c r="F60" s="349"/>
      <c r="G60" s="349"/>
      <c r="H60" s="349"/>
      <c r="I60" s="349"/>
      <c r="J60" s="333"/>
      <c r="K60" s="334"/>
      <c r="L60" s="352"/>
      <c r="M60" s="349"/>
      <c r="N60" s="349"/>
      <c r="O60" s="349"/>
      <c r="P60" s="349"/>
      <c r="Q60" s="349"/>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row>
    <row r="61" spans="1:52" x14ac:dyDescent="0.25">
      <c r="A61" s="330"/>
      <c r="B61" s="355"/>
      <c r="C61" s="355"/>
      <c r="D61" s="344"/>
      <c r="E61" s="344"/>
      <c r="F61" s="349"/>
      <c r="G61" s="349"/>
      <c r="H61" s="349"/>
      <c r="I61" s="349"/>
      <c r="J61" s="333"/>
      <c r="K61" s="334"/>
      <c r="L61" s="352"/>
      <c r="M61" s="349"/>
      <c r="N61" s="349"/>
      <c r="O61" s="349"/>
      <c r="P61" s="349"/>
      <c r="Q61" s="349"/>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row>
    <row r="62" spans="1:52" x14ac:dyDescent="0.25">
      <c r="A62" s="330"/>
      <c r="B62" s="355"/>
      <c r="C62" s="355"/>
      <c r="D62" s="344"/>
      <c r="E62" s="344"/>
      <c r="F62" s="349"/>
      <c r="G62" s="349"/>
      <c r="H62" s="349"/>
      <c r="I62" s="349"/>
      <c r="J62" s="333"/>
      <c r="K62" s="334"/>
      <c r="L62" s="352"/>
      <c r="M62" s="349"/>
      <c r="N62" s="349"/>
      <c r="O62" s="349"/>
      <c r="P62" s="349"/>
      <c r="Q62" s="349"/>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c r="AY62" s="349"/>
      <c r="AZ62" s="349"/>
    </row>
    <row r="63" spans="1:52" x14ac:dyDescent="0.25">
      <c r="A63" s="330"/>
      <c r="B63" s="355"/>
      <c r="C63" s="355"/>
      <c r="D63" s="344"/>
      <c r="E63" s="344"/>
      <c r="F63" s="349"/>
      <c r="G63" s="349"/>
      <c r="H63" s="349"/>
      <c r="I63" s="349"/>
      <c r="J63" s="333"/>
      <c r="K63" s="334"/>
      <c r="L63" s="352"/>
      <c r="M63" s="349"/>
      <c r="N63" s="349"/>
      <c r="O63" s="349"/>
      <c r="P63" s="349"/>
      <c r="Q63" s="349"/>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c r="AY63" s="349"/>
      <c r="AZ63" s="349"/>
    </row>
    <row r="64" spans="1:52" x14ac:dyDescent="0.25">
      <c r="A64" s="330"/>
      <c r="B64" s="355"/>
      <c r="C64" s="355"/>
      <c r="D64" s="344"/>
      <c r="E64" s="344"/>
      <c r="F64" s="349"/>
      <c r="G64" s="349"/>
      <c r="H64" s="349"/>
      <c r="I64" s="349"/>
      <c r="J64" s="333"/>
      <c r="K64" s="334"/>
      <c r="L64" s="352"/>
      <c r="M64" s="349"/>
      <c r="N64" s="349"/>
      <c r="O64" s="349"/>
      <c r="P64" s="349"/>
      <c r="Q64" s="349"/>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349"/>
      <c r="AY64" s="349"/>
      <c r="AZ64" s="349"/>
    </row>
    <row r="65" spans="1:52" x14ac:dyDescent="0.25">
      <c r="A65" s="330"/>
      <c r="B65" s="355"/>
      <c r="C65" s="355"/>
      <c r="D65" s="344"/>
      <c r="E65" s="344"/>
      <c r="F65" s="349"/>
      <c r="G65" s="349"/>
      <c r="H65" s="349"/>
      <c r="I65" s="349"/>
      <c r="J65" s="333"/>
      <c r="K65" s="334"/>
      <c r="L65" s="352"/>
      <c r="M65" s="349"/>
      <c r="N65" s="349"/>
      <c r="O65" s="349"/>
      <c r="P65" s="349"/>
      <c r="Q65" s="349"/>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row>
    <row r="66" spans="1:52" x14ac:dyDescent="0.25">
      <c r="A66" s="330"/>
      <c r="B66" s="355"/>
      <c r="C66" s="355"/>
      <c r="D66" s="344"/>
      <c r="E66" s="344"/>
      <c r="F66" s="349"/>
      <c r="G66" s="349"/>
      <c r="H66" s="349"/>
      <c r="I66" s="349"/>
      <c r="J66" s="333"/>
      <c r="K66" s="334"/>
      <c r="L66" s="352"/>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c r="AY66" s="349"/>
      <c r="AZ66" s="349"/>
    </row>
    <row r="67" spans="1:52" x14ac:dyDescent="0.25">
      <c r="A67" s="330"/>
      <c r="B67" s="355"/>
      <c r="C67" s="355"/>
      <c r="D67" s="344"/>
      <c r="E67" s="344"/>
      <c r="F67" s="349"/>
      <c r="G67" s="349"/>
      <c r="H67" s="349"/>
      <c r="I67" s="349"/>
      <c r="J67" s="333"/>
      <c r="K67" s="334"/>
      <c r="L67" s="352"/>
      <c r="M67" s="349"/>
      <c r="N67" s="349"/>
      <c r="O67" s="349"/>
      <c r="P67" s="349"/>
      <c r="Q67" s="349"/>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c r="AY67" s="349"/>
      <c r="AZ67" s="349"/>
    </row>
    <row r="68" spans="1:52" x14ac:dyDescent="0.25">
      <c r="A68" s="330"/>
      <c r="B68" s="355"/>
      <c r="C68" s="355"/>
      <c r="D68" s="344"/>
      <c r="E68" s="344"/>
      <c r="F68" s="349"/>
      <c r="G68" s="349"/>
      <c r="H68" s="349"/>
      <c r="I68" s="349"/>
      <c r="J68" s="333"/>
      <c r="K68" s="334"/>
      <c r="L68" s="352"/>
      <c r="M68" s="349"/>
      <c r="N68" s="349"/>
      <c r="O68" s="349"/>
      <c r="P68" s="349"/>
      <c r="Q68" s="349"/>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c r="AQ68" s="349"/>
      <c r="AR68" s="349"/>
      <c r="AS68" s="349"/>
      <c r="AT68" s="349"/>
      <c r="AU68" s="349"/>
      <c r="AV68" s="349"/>
      <c r="AW68" s="349"/>
      <c r="AX68" s="349"/>
      <c r="AY68" s="349"/>
      <c r="AZ68" s="349"/>
    </row>
    <row r="69" spans="1:52" x14ac:dyDescent="0.25">
      <c r="A69" s="330"/>
      <c r="B69" s="355"/>
      <c r="C69" s="355"/>
      <c r="D69" s="344"/>
      <c r="E69" s="344"/>
      <c r="F69" s="349"/>
      <c r="G69" s="349"/>
      <c r="H69" s="349"/>
      <c r="I69" s="349"/>
      <c r="J69" s="333"/>
      <c r="K69" s="334"/>
      <c r="L69" s="352"/>
      <c r="M69" s="349"/>
      <c r="N69" s="349"/>
      <c r="O69" s="349"/>
      <c r="P69" s="349"/>
      <c r="Q69" s="349"/>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c r="AY69" s="349"/>
      <c r="AZ69" s="349"/>
    </row>
    <row r="70" spans="1:52" x14ac:dyDescent="0.25">
      <c r="A70" s="330"/>
      <c r="B70" s="355"/>
      <c r="C70" s="355"/>
      <c r="D70" s="344"/>
      <c r="E70" s="344"/>
      <c r="F70" s="349"/>
      <c r="G70" s="349"/>
      <c r="H70" s="349"/>
      <c r="I70" s="349"/>
      <c r="J70" s="333"/>
      <c r="K70" s="334"/>
      <c r="L70" s="352"/>
      <c r="M70" s="349"/>
      <c r="N70" s="349"/>
      <c r="O70" s="349"/>
      <c r="P70" s="349"/>
      <c r="Q70" s="349"/>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row>
    <row r="71" spans="1:52" x14ac:dyDescent="0.25">
      <c r="A71" s="330"/>
      <c r="B71" s="355"/>
      <c r="C71" s="355"/>
      <c r="D71" s="344"/>
      <c r="E71" s="344"/>
      <c r="F71" s="349"/>
      <c r="G71" s="349"/>
      <c r="H71" s="349"/>
      <c r="I71" s="349"/>
      <c r="J71" s="333"/>
      <c r="K71" s="334"/>
      <c r="L71" s="352"/>
      <c r="M71" s="349"/>
      <c r="N71" s="349"/>
      <c r="O71" s="349"/>
      <c r="P71" s="349"/>
      <c r="Q71" s="349"/>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row>
    <row r="72" spans="1:52" x14ac:dyDescent="0.25">
      <c r="A72" s="330"/>
      <c r="B72" s="355"/>
      <c r="C72" s="355"/>
      <c r="D72" s="344"/>
      <c r="E72" s="344"/>
      <c r="F72" s="349"/>
      <c r="G72" s="349"/>
      <c r="H72" s="349"/>
      <c r="I72" s="349"/>
      <c r="J72" s="333"/>
      <c r="K72" s="334"/>
      <c r="L72" s="352"/>
      <c r="M72" s="349"/>
      <c r="N72" s="349"/>
      <c r="O72" s="349"/>
      <c r="P72" s="349"/>
      <c r="Q72" s="349"/>
      <c r="R72" s="349"/>
      <c r="S72" s="349"/>
      <c r="T72" s="349"/>
      <c r="U72" s="349"/>
      <c r="V72" s="349"/>
      <c r="W72" s="349"/>
      <c r="X72" s="349"/>
      <c r="Y72" s="349"/>
      <c r="Z72" s="349"/>
      <c r="AA72" s="349"/>
      <c r="AB72" s="349"/>
      <c r="AC72" s="349"/>
      <c r="AD72" s="349"/>
      <c r="AE72" s="349"/>
      <c r="AF72" s="349"/>
      <c r="AG72" s="349"/>
      <c r="AH72" s="349"/>
      <c r="AI72" s="349"/>
      <c r="AJ72" s="349"/>
      <c r="AK72" s="349"/>
      <c r="AL72" s="349"/>
      <c r="AM72" s="349"/>
      <c r="AN72" s="349"/>
      <c r="AO72" s="349"/>
      <c r="AP72" s="349"/>
      <c r="AQ72" s="349"/>
      <c r="AR72" s="349"/>
      <c r="AS72" s="349"/>
      <c r="AT72" s="349"/>
      <c r="AU72" s="349"/>
      <c r="AV72" s="349"/>
      <c r="AW72" s="349"/>
      <c r="AX72" s="349"/>
      <c r="AY72" s="349"/>
      <c r="AZ72" s="349"/>
    </row>
    <row r="73" spans="1:52" x14ac:dyDescent="0.25">
      <c r="A73" s="330"/>
      <c r="B73" s="355"/>
      <c r="C73" s="355"/>
      <c r="D73" s="344"/>
      <c r="E73" s="344"/>
      <c r="F73" s="349"/>
      <c r="G73" s="349"/>
      <c r="H73" s="349"/>
      <c r="I73" s="349"/>
      <c r="J73" s="333"/>
      <c r="K73" s="334"/>
      <c r="L73" s="352"/>
      <c r="M73" s="349"/>
      <c r="N73" s="349"/>
      <c r="O73" s="349"/>
      <c r="P73" s="349"/>
      <c r="Q73" s="349"/>
      <c r="R73" s="349"/>
      <c r="S73" s="349"/>
      <c r="T73" s="349"/>
      <c r="U73" s="349"/>
      <c r="V73" s="349"/>
      <c r="W73" s="349"/>
      <c r="X73" s="349"/>
      <c r="Y73" s="349"/>
      <c r="Z73" s="349"/>
      <c r="AA73" s="349"/>
      <c r="AB73" s="349"/>
      <c r="AC73" s="349"/>
      <c r="AD73" s="349"/>
      <c r="AE73" s="349"/>
      <c r="AF73" s="349"/>
      <c r="AG73" s="349"/>
      <c r="AH73" s="349"/>
      <c r="AI73" s="349"/>
      <c r="AJ73" s="349"/>
      <c r="AK73" s="349"/>
      <c r="AL73" s="349"/>
      <c r="AM73" s="349"/>
      <c r="AN73" s="349"/>
      <c r="AO73" s="349"/>
      <c r="AP73" s="349"/>
      <c r="AQ73" s="349"/>
      <c r="AR73" s="349"/>
      <c r="AS73" s="349"/>
      <c r="AT73" s="349"/>
      <c r="AU73" s="349"/>
      <c r="AV73" s="349"/>
      <c r="AW73" s="349"/>
      <c r="AX73" s="349"/>
      <c r="AY73" s="349"/>
      <c r="AZ73" s="349"/>
    </row>
    <row r="74" spans="1:52" x14ac:dyDescent="0.25">
      <c r="A74" s="330"/>
      <c r="B74" s="355"/>
      <c r="C74" s="355"/>
      <c r="D74" s="344"/>
      <c r="E74" s="344"/>
      <c r="F74" s="349"/>
      <c r="G74" s="349"/>
      <c r="H74" s="349"/>
      <c r="I74" s="349"/>
      <c r="J74" s="333"/>
      <c r="K74" s="334"/>
      <c r="L74" s="352"/>
      <c r="M74" s="349"/>
      <c r="N74" s="349"/>
      <c r="O74" s="349"/>
      <c r="P74" s="349"/>
      <c r="Q74" s="349"/>
      <c r="R74" s="349"/>
      <c r="S74" s="349"/>
      <c r="T74" s="349"/>
      <c r="U74" s="349"/>
      <c r="V74" s="349"/>
      <c r="W74" s="349"/>
      <c r="X74" s="349"/>
      <c r="Y74" s="349"/>
      <c r="Z74" s="349"/>
      <c r="AA74" s="349"/>
      <c r="AB74" s="349"/>
      <c r="AC74" s="349"/>
      <c r="AD74" s="349"/>
      <c r="AE74" s="349"/>
      <c r="AF74" s="349"/>
      <c r="AG74" s="349"/>
      <c r="AH74" s="349"/>
      <c r="AI74" s="349"/>
      <c r="AJ74" s="349"/>
      <c r="AK74" s="349"/>
      <c r="AL74" s="349"/>
      <c r="AM74" s="349"/>
      <c r="AN74" s="349"/>
      <c r="AO74" s="349"/>
      <c r="AP74" s="349"/>
      <c r="AQ74" s="349"/>
      <c r="AR74" s="349"/>
      <c r="AS74" s="349"/>
      <c r="AT74" s="349"/>
      <c r="AU74" s="349"/>
      <c r="AV74" s="349"/>
      <c r="AW74" s="349"/>
      <c r="AX74" s="349"/>
      <c r="AY74" s="349"/>
      <c r="AZ74" s="349"/>
    </row>
    <row r="75" spans="1:52" x14ac:dyDescent="0.25">
      <c r="A75" s="330"/>
      <c r="B75" s="355"/>
      <c r="C75" s="355"/>
      <c r="D75" s="344"/>
      <c r="E75" s="344"/>
      <c r="F75" s="349"/>
      <c r="G75" s="349"/>
      <c r="H75" s="349"/>
      <c r="I75" s="349"/>
      <c r="J75" s="333"/>
      <c r="K75" s="334"/>
      <c r="L75" s="352"/>
      <c r="M75" s="349"/>
      <c r="N75" s="349"/>
      <c r="O75" s="349"/>
      <c r="P75" s="349"/>
      <c r="Q75" s="349"/>
      <c r="R75" s="349"/>
      <c r="S75" s="349"/>
      <c r="T75" s="349"/>
      <c r="U75" s="349"/>
      <c r="V75" s="349"/>
      <c r="W75" s="349"/>
      <c r="X75" s="349"/>
      <c r="Y75" s="349"/>
      <c r="Z75" s="349"/>
      <c r="AA75" s="349"/>
      <c r="AB75" s="349"/>
      <c r="AC75" s="349"/>
      <c r="AD75" s="349"/>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row>
    <row r="76" spans="1:52" x14ac:dyDescent="0.25">
      <c r="A76" s="330"/>
      <c r="B76" s="355"/>
      <c r="C76" s="355"/>
      <c r="D76" s="344"/>
      <c r="E76" s="344"/>
      <c r="F76" s="349"/>
      <c r="G76" s="349"/>
      <c r="H76" s="349"/>
      <c r="I76" s="349"/>
      <c r="J76" s="333"/>
      <c r="K76" s="334"/>
      <c r="L76" s="352"/>
      <c r="M76" s="349"/>
      <c r="N76" s="349"/>
      <c r="O76" s="349"/>
      <c r="P76" s="349"/>
      <c r="Q76" s="349"/>
      <c r="R76" s="349"/>
      <c r="S76" s="349"/>
      <c r="T76" s="349"/>
      <c r="U76" s="349"/>
      <c r="V76" s="349"/>
      <c r="W76" s="349"/>
      <c r="X76" s="349"/>
      <c r="Y76" s="349"/>
      <c r="Z76" s="349"/>
      <c r="AA76" s="349"/>
      <c r="AB76" s="349"/>
      <c r="AC76" s="349"/>
      <c r="AD76" s="349"/>
      <c r="AE76" s="349"/>
      <c r="AF76" s="349"/>
      <c r="AG76" s="349"/>
      <c r="AH76" s="349"/>
      <c r="AI76" s="349"/>
      <c r="AJ76" s="349"/>
      <c r="AK76" s="349"/>
      <c r="AL76" s="349"/>
      <c r="AM76" s="349"/>
      <c r="AN76" s="349"/>
      <c r="AO76" s="349"/>
      <c r="AP76" s="349"/>
      <c r="AQ76" s="349"/>
      <c r="AR76" s="349"/>
      <c r="AS76" s="349"/>
      <c r="AT76" s="349"/>
      <c r="AU76" s="349"/>
      <c r="AV76" s="349"/>
      <c r="AW76" s="349"/>
      <c r="AX76" s="349"/>
      <c r="AY76" s="349"/>
      <c r="AZ76" s="349"/>
    </row>
    <row r="77" spans="1:52" x14ac:dyDescent="0.25">
      <c r="A77" s="330"/>
      <c r="B77" s="355"/>
      <c r="C77" s="355"/>
      <c r="D77" s="344"/>
      <c r="E77" s="344"/>
      <c r="F77" s="349"/>
      <c r="G77" s="349"/>
      <c r="H77" s="349"/>
      <c r="I77" s="349"/>
      <c r="J77" s="333"/>
      <c r="K77" s="334"/>
      <c r="L77" s="352"/>
      <c r="M77" s="349"/>
      <c r="N77" s="349"/>
      <c r="O77" s="349"/>
      <c r="P77" s="349"/>
      <c r="Q77" s="349"/>
      <c r="R77" s="349"/>
      <c r="S77" s="349"/>
      <c r="T77" s="349"/>
      <c r="U77" s="349"/>
      <c r="V77" s="349"/>
      <c r="W77" s="349"/>
      <c r="X77" s="349"/>
      <c r="Y77" s="349"/>
      <c r="Z77" s="349"/>
      <c r="AA77" s="349"/>
      <c r="AB77" s="349"/>
      <c r="AC77" s="349"/>
      <c r="AD77" s="349"/>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row>
    <row r="78" spans="1:52" x14ac:dyDescent="0.25">
      <c r="A78" s="330"/>
      <c r="B78" s="355"/>
      <c r="C78" s="355"/>
      <c r="D78" s="344"/>
      <c r="E78" s="344"/>
      <c r="F78" s="349"/>
      <c r="G78" s="349"/>
      <c r="H78" s="349"/>
      <c r="I78" s="349"/>
      <c r="J78" s="333"/>
      <c r="K78" s="334"/>
      <c r="L78" s="352"/>
      <c r="M78" s="349"/>
      <c r="N78" s="349"/>
      <c r="O78" s="349"/>
      <c r="P78" s="349"/>
      <c r="Q78" s="349"/>
      <c r="R78" s="349"/>
      <c r="S78" s="349"/>
      <c r="T78" s="349"/>
      <c r="U78" s="349"/>
      <c r="V78" s="349"/>
      <c r="W78" s="349"/>
      <c r="X78" s="349"/>
      <c r="Y78" s="349"/>
      <c r="Z78" s="349"/>
      <c r="AA78" s="349"/>
      <c r="AB78" s="349"/>
      <c r="AC78" s="349"/>
      <c r="AD78" s="349"/>
      <c r="AE78" s="349"/>
      <c r="AF78" s="349"/>
      <c r="AG78" s="349"/>
      <c r="AH78" s="349"/>
      <c r="AI78" s="349"/>
      <c r="AJ78" s="349"/>
      <c r="AK78" s="349"/>
      <c r="AL78" s="349"/>
      <c r="AM78" s="349"/>
      <c r="AN78" s="349"/>
      <c r="AO78" s="349"/>
      <c r="AP78" s="349"/>
      <c r="AQ78" s="349"/>
      <c r="AR78" s="349"/>
      <c r="AS78" s="349"/>
      <c r="AT78" s="349"/>
      <c r="AU78" s="349"/>
      <c r="AV78" s="349"/>
      <c r="AW78" s="349"/>
      <c r="AX78" s="349"/>
      <c r="AY78" s="349"/>
      <c r="AZ78" s="349"/>
    </row>
    <row r="79" spans="1:52" x14ac:dyDescent="0.25">
      <c r="A79" s="330"/>
      <c r="B79" s="355"/>
      <c r="C79" s="355"/>
      <c r="D79" s="344"/>
      <c r="E79" s="344"/>
      <c r="F79" s="349"/>
      <c r="G79" s="349"/>
      <c r="H79" s="349"/>
      <c r="I79" s="349"/>
      <c r="J79" s="333"/>
      <c r="K79" s="334"/>
      <c r="L79" s="352"/>
      <c r="M79" s="349"/>
      <c r="N79" s="349"/>
      <c r="O79" s="349"/>
      <c r="P79" s="349"/>
      <c r="Q79" s="349"/>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49"/>
      <c r="AY79" s="349"/>
      <c r="AZ79" s="349"/>
    </row>
    <row r="80" spans="1:52" x14ac:dyDescent="0.25">
      <c r="A80" s="330"/>
      <c r="B80" s="355"/>
      <c r="C80" s="355"/>
      <c r="D80" s="344"/>
      <c r="E80" s="344"/>
      <c r="F80" s="349"/>
      <c r="G80" s="349"/>
      <c r="H80" s="349"/>
      <c r="I80" s="349"/>
      <c r="J80" s="333"/>
      <c r="K80" s="334"/>
      <c r="L80" s="352"/>
      <c r="M80" s="349"/>
      <c r="N80" s="349"/>
      <c r="O80" s="349"/>
      <c r="P80" s="349"/>
      <c r="Q80" s="349"/>
      <c r="R80" s="349"/>
      <c r="S80" s="349"/>
      <c r="T80" s="349"/>
      <c r="U80" s="349"/>
      <c r="V80" s="349"/>
      <c r="W80" s="349"/>
      <c r="X80" s="349"/>
      <c r="Y80" s="349"/>
      <c r="Z80" s="349"/>
      <c r="AA80" s="349"/>
      <c r="AB80" s="349"/>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49"/>
      <c r="AY80" s="349"/>
      <c r="AZ80" s="349"/>
    </row>
    <row r="81" spans="1:52" x14ac:dyDescent="0.25">
      <c r="A81" s="330"/>
      <c r="B81" s="355"/>
      <c r="C81" s="355"/>
      <c r="D81" s="344"/>
      <c r="E81" s="344"/>
      <c r="F81" s="349"/>
      <c r="G81" s="349"/>
      <c r="H81" s="349"/>
      <c r="I81" s="349"/>
      <c r="J81" s="333"/>
      <c r="K81" s="334"/>
      <c r="L81" s="352"/>
      <c r="M81" s="349"/>
      <c r="N81" s="349"/>
      <c r="O81" s="349"/>
      <c r="P81" s="349"/>
      <c r="Q81" s="349"/>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49"/>
      <c r="AY81" s="349"/>
      <c r="AZ81" s="349"/>
    </row>
    <row r="82" spans="1:52" x14ac:dyDescent="0.25">
      <c r="A82" s="330"/>
      <c r="B82" s="355"/>
      <c r="C82" s="355"/>
      <c r="D82" s="344"/>
      <c r="E82" s="344"/>
      <c r="F82" s="349"/>
      <c r="G82" s="349"/>
      <c r="H82" s="349"/>
      <c r="I82" s="349"/>
      <c r="J82" s="333"/>
      <c r="K82" s="334"/>
      <c r="L82" s="352"/>
      <c r="M82" s="349"/>
      <c r="N82" s="349"/>
      <c r="O82" s="349"/>
      <c r="P82" s="349"/>
      <c r="Q82" s="349"/>
      <c r="R82" s="349"/>
      <c r="S82" s="349"/>
      <c r="T82" s="349"/>
      <c r="U82" s="349"/>
      <c r="V82" s="349"/>
      <c r="W82" s="349"/>
      <c r="X82" s="349"/>
      <c r="Y82" s="349"/>
      <c r="Z82" s="349"/>
      <c r="AA82" s="349"/>
      <c r="AB82" s="349"/>
      <c r="AC82" s="349"/>
      <c r="AD82" s="349"/>
      <c r="AE82" s="349"/>
      <c r="AF82" s="349"/>
      <c r="AG82" s="349"/>
      <c r="AH82" s="349"/>
      <c r="AI82" s="349"/>
      <c r="AJ82" s="349"/>
      <c r="AK82" s="349"/>
      <c r="AL82" s="349"/>
      <c r="AM82" s="349"/>
      <c r="AN82" s="349"/>
      <c r="AO82" s="349"/>
      <c r="AP82" s="349"/>
      <c r="AQ82" s="349"/>
      <c r="AR82" s="349"/>
      <c r="AS82" s="349"/>
      <c r="AT82" s="349"/>
      <c r="AU82" s="349"/>
      <c r="AV82" s="349"/>
      <c r="AW82" s="349"/>
      <c r="AX82" s="349"/>
      <c r="AY82" s="349"/>
      <c r="AZ82" s="349"/>
    </row>
    <row r="83" spans="1:52" x14ac:dyDescent="0.25">
      <c r="A83" s="330"/>
      <c r="B83" s="355"/>
      <c r="C83" s="355"/>
      <c r="D83" s="344"/>
      <c r="E83" s="344"/>
      <c r="F83" s="349"/>
      <c r="G83" s="349"/>
      <c r="H83" s="349"/>
      <c r="I83" s="349"/>
      <c r="J83" s="333"/>
      <c r="K83" s="334"/>
      <c r="L83" s="352"/>
      <c r="M83" s="349"/>
      <c r="N83" s="349"/>
      <c r="O83" s="349"/>
      <c r="P83" s="349"/>
      <c r="Q83" s="349"/>
      <c r="R83" s="349"/>
      <c r="S83" s="349"/>
      <c r="T83" s="349"/>
      <c r="U83" s="349"/>
      <c r="V83" s="349"/>
      <c r="W83" s="349"/>
      <c r="X83" s="349"/>
      <c r="Y83" s="349"/>
      <c r="Z83" s="349"/>
      <c r="AA83" s="349"/>
      <c r="AB83" s="349"/>
      <c r="AC83" s="349"/>
      <c r="AD83" s="349"/>
      <c r="AE83" s="349"/>
      <c r="AF83" s="349"/>
      <c r="AG83" s="349"/>
      <c r="AH83" s="349"/>
      <c r="AI83" s="349"/>
      <c r="AJ83" s="349"/>
      <c r="AK83" s="349"/>
      <c r="AL83" s="349"/>
      <c r="AM83" s="349"/>
      <c r="AN83" s="349"/>
      <c r="AO83" s="349"/>
      <c r="AP83" s="349"/>
      <c r="AQ83" s="349"/>
      <c r="AR83" s="349"/>
      <c r="AS83" s="349"/>
      <c r="AT83" s="349"/>
      <c r="AU83" s="349"/>
      <c r="AV83" s="349"/>
      <c r="AW83" s="349"/>
      <c r="AX83" s="349"/>
      <c r="AY83" s="349"/>
      <c r="AZ83" s="349"/>
    </row>
    <row r="84" spans="1:52" x14ac:dyDescent="0.25">
      <c r="A84" s="330"/>
      <c r="B84" s="355"/>
      <c r="C84" s="355"/>
      <c r="D84" s="344"/>
      <c r="E84" s="344"/>
      <c r="F84" s="349"/>
      <c r="G84" s="349"/>
      <c r="H84" s="349"/>
      <c r="I84" s="349"/>
      <c r="J84" s="333"/>
      <c r="K84" s="334"/>
      <c r="L84" s="352"/>
      <c r="M84" s="349"/>
      <c r="N84" s="349"/>
      <c r="O84" s="349"/>
      <c r="P84" s="349"/>
      <c r="Q84" s="349"/>
      <c r="R84" s="349"/>
      <c r="S84" s="349"/>
      <c r="T84" s="349"/>
      <c r="U84" s="349"/>
      <c r="V84" s="349"/>
      <c r="W84" s="349"/>
      <c r="X84" s="349"/>
      <c r="Y84" s="349"/>
      <c r="Z84" s="349"/>
      <c r="AA84" s="349"/>
      <c r="AB84" s="349"/>
      <c r="AC84" s="349"/>
      <c r="AD84" s="349"/>
      <c r="AE84" s="349"/>
      <c r="AF84" s="349"/>
      <c r="AG84" s="349"/>
      <c r="AH84" s="349"/>
      <c r="AI84" s="349"/>
      <c r="AJ84" s="349"/>
      <c r="AK84" s="349"/>
      <c r="AL84" s="349"/>
      <c r="AM84" s="349"/>
      <c r="AN84" s="349"/>
      <c r="AO84" s="349"/>
      <c r="AP84" s="349"/>
      <c r="AQ84" s="349"/>
      <c r="AR84" s="349"/>
      <c r="AS84" s="349"/>
      <c r="AT84" s="349"/>
      <c r="AU84" s="349"/>
      <c r="AV84" s="349"/>
      <c r="AW84" s="349"/>
      <c r="AX84" s="349"/>
      <c r="AY84" s="349"/>
      <c r="AZ84" s="349"/>
    </row>
    <row r="85" spans="1:52" x14ac:dyDescent="0.25">
      <c r="A85" s="330"/>
      <c r="B85" s="355"/>
      <c r="C85" s="355"/>
      <c r="D85" s="344"/>
      <c r="E85" s="344"/>
      <c r="F85" s="349"/>
      <c r="G85" s="349"/>
      <c r="H85" s="349"/>
      <c r="I85" s="349"/>
      <c r="J85" s="333"/>
      <c r="K85" s="334"/>
      <c r="L85" s="352"/>
      <c r="M85" s="349"/>
      <c r="N85" s="349"/>
      <c r="O85" s="349"/>
      <c r="P85" s="349"/>
      <c r="Q85" s="349"/>
      <c r="R85" s="349"/>
      <c r="S85" s="349"/>
      <c r="T85" s="349"/>
      <c r="U85" s="349"/>
      <c r="V85" s="349"/>
      <c r="W85" s="349"/>
      <c r="X85" s="349"/>
      <c r="Y85" s="349"/>
      <c r="Z85" s="349"/>
      <c r="AA85" s="349"/>
      <c r="AB85" s="349"/>
      <c r="AC85" s="349"/>
      <c r="AD85" s="349"/>
      <c r="AE85" s="349"/>
      <c r="AF85" s="349"/>
      <c r="AG85" s="349"/>
      <c r="AH85" s="349"/>
      <c r="AI85" s="349"/>
      <c r="AJ85" s="349"/>
      <c r="AK85" s="349"/>
      <c r="AL85" s="349"/>
      <c r="AM85" s="349"/>
      <c r="AN85" s="349"/>
      <c r="AO85" s="349"/>
      <c r="AP85" s="349"/>
      <c r="AQ85" s="349"/>
      <c r="AR85" s="349"/>
      <c r="AS85" s="349"/>
      <c r="AT85" s="349"/>
      <c r="AU85" s="349"/>
      <c r="AV85" s="349"/>
      <c r="AW85" s="349"/>
      <c r="AX85" s="349"/>
      <c r="AY85" s="349"/>
      <c r="AZ85" s="349"/>
    </row>
    <row r="86" spans="1:52" x14ac:dyDescent="0.25">
      <c r="A86" s="330"/>
      <c r="B86" s="355"/>
      <c r="C86" s="355"/>
      <c r="D86" s="344"/>
      <c r="E86" s="344"/>
      <c r="F86" s="349"/>
      <c r="G86" s="349"/>
      <c r="H86" s="349"/>
      <c r="I86" s="349"/>
      <c r="J86" s="333"/>
      <c r="K86" s="334"/>
      <c r="L86" s="352"/>
      <c r="M86" s="349"/>
      <c r="N86" s="349"/>
      <c r="O86" s="349"/>
      <c r="P86" s="349"/>
      <c r="Q86" s="349"/>
      <c r="R86" s="349"/>
      <c r="S86" s="349"/>
      <c r="T86" s="349"/>
      <c r="U86" s="349"/>
      <c r="V86" s="349"/>
      <c r="W86" s="349"/>
      <c r="X86" s="349"/>
      <c r="Y86" s="349"/>
      <c r="Z86" s="349"/>
      <c r="AA86" s="349"/>
      <c r="AB86" s="349"/>
      <c r="AC86" s="349"/>
      <c r="AD86" s="349"/>
      <c r="AE86" s="349"/>
      <c r="AF86" s="349"/>
      <c r="AG86" s="349"/>
      <c r="AH86" s="349"/>
      <c r="AI86" s="349"/>
      <c r="AJ86" s="349"/>
      <c r="AK86" s="349"/>
      <c r="AL86" s="349"/>
      <c r="AM86" s="349"/>
      <c r="AN86" s="349"/>
      <c r="AO86" s="349"/>
      <c r="AP86" s="349"/>
      <c r="AQ86" s="349"/>
      <c r="AR86" s="349"/>
      <c r="AS86" s="349"/>
      <c r="AT86" s="349"/>
      <c r="AU86" s="349"/>
      <c r="AV86" s="349"/>
      <c r="AW86" s="349"/>
      <c r="AX86" s="349"/>
      <c r="AY86" s="349"/>
      <c r="AZ86" s="349"/>
    </row>
    <row r="87" spans="1:52" x14ac:dyDescent="0.25">
      <c r="A87" s="330"/>
      <c r="B87" s="355"/>
      <c r="C87" s="355"/>
      <c r="D87" s="344"/>
      <c r="E87" s="344"/>
      <c r="F87" s="349"/>
      <c r="G87" s="349"/>
      <c r="H87" s="349"/>
      <c r="I87" s="349"/>
      <c r="J87" s="333"/>
      <c r="K87" s="334"/>
      <c r="L87" s="352"/>
      <c r="M87" s="349"/>
      <c r="N87" s="349"/>
      <c r="O87" s="349"/>
      <c r="P87" s="349"/>
      <c r="Q87" s="349"/>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49"/>
      <c r="AY87" s="349"/>
      <c r="AZ87" s="349"/>
    </row>
    <row r="88" spans="1:52" x14ac:dyDescent="0.25">
      <c r="A88" s="330"/>
      <c r="B88" s="355"/>
      <c r="C88" s="355"/>
      <c r="D88" s="344"/>
      <c r="E88" s="344"/>
      <c r="F88" s="349"/>
      <c r="G88" s="349"/>
      <c r="H88" s="349"/>
      <c r="I88" s="349"/>
      <c r="J88" s="333"/>
      <c r="K88" s="334"/>
      <c r="L88" s="352"/>
      <c r="M88" s="349"/>
      <c r="N88" s="349"/>
      <c r="O88" s="349"/>
      <c r="P88" s="349"/>
      <c r="Q88" s="349"/>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row>
    <row r="89" spans="1:52" x14ac:dyDescent="0.25">
      <c r="A89" s="330"/>
      <c r="B89" s="355"/>
      <c r="C89" s="355"/>
      <c r="D89" s="344"/>
      <c r="E89" s="344"/>
      <c r="F89" s="349"/>
      <c r="G89" s="349"/>
      <c r="H89" s="349"/>
      <c r="I89" s="349"/>
      <c r="J89" s="333"/>
      <c r="K89" s="334"/>
      <c r="L89" s="352"/>
      <c r="M89" s="349"/>
      <c r="N89" s="349"/>
      <c r="O89" s="349"/>
      <c r="P89" s="349"/>
      <c r="Q89" s="349"/>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row>
    <row r="90" spans="1:52" x14ac:dyDescent="0.25">
      <c r="A90" s="330"/>
      <c r="B90" s="355"/>
      <c r="C90" s="355"/>
      <c r="D90" s="344"/>
      <c r="E90" s="344"/>
      <c r="F90" s="349"/>
      <c r="G90" s="349"/>
      <c r="H90" s="349"/>
      <c r="I90" s="349"/>
      <c r="J90" s="333"/>
      <c r="K90" s="334"/>
      <c r="L90" s="352"/>
      <c r="M90" s="349"/>
      <c r="N90" s="349"/>
      <c r="O90" s="349"/>
      <c r="P90" s="349"/>
      <c r="Q90" s="349"/>
      <c r="R90" s="349"/>
      <c r="S90" s="349"/>
      <c r="T90" s="349"/>
      <c r="U90" s="349"/>
      <c r="V90" s="349"/>
      <c r="W90" s="349"/>
      <c r="X90" s="349"/>
      <c r="Y90" s="349"/>
      <c r="Z90" s="349"/>
      <c r="AA90" s="349"/>
      <c r="AB90" s="349"/>
      <c r="AC90" s="349"/>
      <c r="AD90" s="349"/>
      <c r="AE90" s="349"/>
      <c r="AF90" s="349"/>
      <c r="AG90" s="349"/>
      <c r="AH90" s="349"/>
      <c r="AI90" s="349"/>
      <c r="AJ90" s="349"/>
      <c r="AK90" s="349"/>
      <c r="AL90" s="349"/>
      <c r="AM90" s="349"/>
      <c r="AN90" s="349"/>
      <c r="AO90" s="349"/>
      <c r="AP90" s="349"/>
      <c r="AQ90" s="349"/>
      <c r="AR90" s="349"/>
      <c r="AS90" s="349"/>
      <c r="AT90" s="349"/>
      <c r="AU90" s="349"/>
      <c r="AV90" s="349"/>
      <c r="AW90" s="349"/>
      <c r="AX90" s="349"/>
      <c r="AY90" s="349"/>
      <c r="AZ90" s="349"/>
    </row>
    <row r="91" spans="1:52" x14ac:dyDescent="0.25">
      <c r="A91" s="330"/>
      <c r="B91" s="355"/>
      <c r="C91" s="355"/>
      <c r="D91" s="344"/>
      <c r="E91" s="344"/>
      <c r="F91" s="349"/>
      <c r="G91" s="349"/>
      <c r="H91" s="349"/>
      <c r="I91" s="349"/>
      <c r="J91" s="333"/>
      <c r="K91" s="334"/>
      <c r="L91" s="352"/>
      <c r="M91" s="349"/>
      <c r="N91" s="349"/>
      <c r="O91" s="349"/>
      <c r="P91" s="349"/>
      <c r="Q91" s="349"/>
      <c r="R91" s="349"/>
      <c r="S91" s="349"/>
      <c r="T91" s="349"/>
      <c r="U91" s="349"/>
      <c r="V91" s="349"/>
      <c r="W91" s="349"/>
      <c r="X91" s="349"/>
      <c r="Y91" s="349"/>
      <c r="Z91" s="349"/>
      <c r="AA91" s="349"/>
      <c r="AB91" s="349"/>
      <c r="AC91" s="349"/>
      <c r="AD91" s="349"/>
      <c r="AE91" s="349"/>
      <c r="AF91" s="349"/>
      <c r="AG91" s="349"/>
      <c r="AH91" s="349"/>
      <c r="AI91" s="349"/>
      <c r="AJ91" s="349"/>
      <c r="AK91" s="349"/>
      <c r="AL91" s="349"/>
      <c r="AM91" s="349"/>
      <c r="AN91" s="349"/>
      <c r="AO91" s="349"/>
      <c r="AP91" s="349"/>
      <c r="AQ91" s="349"/>
      <c r="AR91" s="349"/>
      <c r="AS91" s="349"/>
      <c r="AT91" s="349"/>
      <c r="AU91" s="349"/>
      <c r="AV91" s="349"/>
      <c r="AW91" s="349"/>
      <c r="AX91" s="349"/>
      <c r="AY91" s="349"/>
      <c r="AZ91" s="349"/>
    </row>
    <row r="92" spans="1:52" x14ac:dyDescent="0.25">
      <c r="A92" s="330"/>
      <c r="B92" s="355"/>
      <c r="C92" s="355"/>
      <c r="D92" s="344"/>
      <c r="E92" s="344"/>
      <c r="F92" s="349"/>
      <c r="G92" s="349"/>
      <c r="H92" s="349"/>
      <c r="I92" s="349"/>
      <c r="J92" s="333"/>
      <c r="K92" s="334"/>
      <c r="L92" s="352"/>
      <c r="M92" s="349"/>
      <c r="N92" s="349"/>
      <c r="O92" s="349"/>
      <c r="P92" s="349"/>
      <c r="Q92" s="349"/>
      <c r="R92" s="349"/>
      <c r="S92" s="349"/>
      <c r="T92" s="349"/>
      <c r="U92" s="349"/>
      <c r="V92" s="349"/>
      <c r="W92" s="349"/>
      <c r="X92" s="349"/>
      <c r="Y92" s="349"/>
      <c r="Z92" s="349"/>
      <c r="AA92" s="349"/>
      <c r="AB92" s="349"/>
      <c r="AC92" s="349"/>
      <c r="AD92" s="349"/>
      <c r="AE92" s="349"/>
      <c r="AF92" s="349"/>
      <c r="AG92" s="349"/>
      <c r="AH92" s="349"/>
      <c r="AI92" s="349"/>
      <c r="AJ92" s="349"/>
      <c r="AK92" s="349"/>
      <c r="AL92" s="349"/>
      <c r="AM92" s="349"/>
      <c r="AN92" s="349"/>
      <c r="AO92" s="349"/>
      <c r="AP92" s="349"/>
      <c r="AQ92" s="349"/>
      <c r="AR92" s="349"/>
      <c r="AS92" s="349"/>
      <c r="AT92" s="349"/>
      <c r="AU92" s="349"/>
      <c r="AV92" s="349"/>
      <c r="AW92" s="349"/>
      <c r="AX92" s="349"/>
      <c r="AY92" s="349"/>
      <c r="AZ92" s="349"/>
    </row>
    <row r="93" spans="1:52" x14ac:dyDescent="0.25">
      <c r="A93" s="330"/>
      <c r="B93" s="355"/>
      <c r="C93" s="355"/>
      <c r="D93" s="344"/>
      <c r="E93" s="344"/>
      <c r="F93" s="349"/>
      <c r="G93" s="349"/>
      <c r="H93" s="349"/>
      <c r="I93" s="349"/>
      <c r="J93" s="333"/>
      <c r="K93" s="334"/>
      <c r="L93" s="352"/>
      <c r="M93" s="349"/>
      <c r="N93" s="349"/>
      <c r="O93" s="349"/>
      <c r="P93" s="349"/>
      <c r="Q93" s="349"/>
      <c r="R93" s="349"/>
      <c r="S93" s="349"/>
      <c r="T93" s="349"/>
      <c r="U93" s="349"/>
      <c r="V93" s="349"/>
      <c r="W93" s="349"/>
      <c r="X93" s="349"/>
      <c r="Y93" s="349"/>
      <c r="Z93" s="349"/>
      <c r="AA93" s="349"/>
      <c r="AB93" s="349"/>
      <c r="AC93" s="349"/>
      <c r="AD93" s="349"/>
      <c r="AE93" s="349"/>
      <c r="AF93" s="349"/>
      <c r="AG93" s="349"/>
      <c r="AH93" s="349"/>
      <c r="AI93" s="349"/>
      <c r="AJ93" s="349"/>
      <c r="AK93" s="349"/>
      <c r="AL93" s="349"/>
      <c r="AM93" s="349"/>
      <c r="AN93" s="349"/>
      <c r="AO93" s="349"/>
      <c r="AP93" s="349"/>
      <c r="AQ93" s="349"/>
      <c r="AR93" s="349"/>
      <c r="AS93" s="349"/>
      <c r="AT93" s="349"/>
      <c r="AU93" s="349"/>
      <c r="AV93" s="349"/>
      <c r="AW93" s="349"/>
      <c r="AX93" s="349"/>
      <c r="AY93" s="349"/>
      <c r="AZ93" s="349"/>
    </row>
    <row r="94" spans="1:52" x14ac:dyDescent="0.25">
      <c r="A94" s="330"/>
      <c r="B94" s="355"/>
      <c r="C94" s="355"/>
      <c r="D94" s="344"/>
      <c r="E94" s="344"/>
      <c r="F94" s="349"/>
      <c r="G94" s="349"/>
      <c r="H94" s="349"/>
      <c r="I94" s="349"/>
      <c r="J94" s="333"/>
      <c r="K94" s="334"/>
      <c r="L94" s="352"/>
      <c r="M94" s="349"/>
      <c r="N94" s="349"/>
      <c r="O94" s="349"/>
      <c r="P94" s="349"/>
      <c r="Q94" s="349"/>
      <c r="R94" s="349"/>
      <c r="S94" s="349"/>
      <c r="T94" s="349"/>
      <c r="U94" s="349"/>
      <c r="V94" s="349"/>
      <c r="W94" s="349"/>
      <c r="X94" s="349"/>
      <c r="Y94" s="349"/>
      <c r="Z94" s="349"/>
      <c r="AA94" s="349"/>
      <c r="AB94" s="349"/>
      <c r="AC94" s="349"/>
      <c r="AD94" s="349"/>
      <c r="AE94" s="349"/>
      <c r="AF94" s="349"/>
      <c r="AG94" s="349"/>
      <c r="AH94" s="349"/>
      <c r="AI94" s="349"/>
      <c r="AJ94" s="349"/>
      <c r="AK94" s="349"/>
      <c r="AL94" s="349"/>
      <c r="AM94" s="349"/>
      <c r="AN94" s="349"/>
      <c r="AO94" s="349"/>
      <c r="AP94" s="349"/>
      <c r="AQ94" s="349"/>
      <c r="AR94" s="349"/>
      <c r="AS94" s="349"/>
      <c r="AT94" s="349"/>
      <c r="AU94" s="349"/>
      <c r="AV94" s="349"/>
      <c r="AW94" s="349"/>
      <c r="AX94" s="349"/>
      <c r="AY94" s="349"/>
      <c r="AZ94" s="349"/>
    </row>
    <row r="95" spans="1:52" x14ac:dyDescent="0.25">
      <c r="A95" s="330"/>
      <c r="B95" s="355"/>
      <c r="C95" s="355"/>
      <c r="D95" s="344"/>
      <c r="E95" s="344"/>
      <c r="F95" s="349"/>
      <c r="G95" s="349"/>
      <c r="H95" s="349"/>
      <c r="I95" s="349"/>
      <c r="J95" s="333"/>
      <c r="K95" s="334"/>
      <c r="L95" s="352"/>
      <c r="M95" s="349"/>
      <c r="N95" s="349"/>
      <c r="O95" s="349"/>
      <c r="P95" s="349"/>
      <c r="Q95" s="349"/>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49"/>
      <c r="AY95" s="349"/>
      <c r="AZ95" s="349"/>
    </row>
    <row r="96" spans="1:52" x14ac:dyDescent="0.25">
      <c r="A96" s="330"/>
      <c r="B96" s="355"/>
      <c r="C96" s="355"/>
      <c r="D96" s="344"/>
      <c r="E96" s="344"/>
      <c r="F96" s="349"/>
      <c r="G96" s="349"/>
      <c r="H96" s="349"/>
      <c r="I96" s="349"/>
      <c r="J96" s="333"/>
      <c r="K96" s="334"/>
      <c r="L96" s="352"/>
      <c r="M96" s="349"/>
      <c r="N96" s="349"/>
      <c r="O96" s="349"/>
      <c r="P96" s="349"/>
      <c r="Q96" s="349"/>
      <c r="R96" s="349"/>
      <c r="S96" s="349"/>
      <c r="T96" s="349"/>
      <c r="U96" s="349"/>
      <c r="V96" s="349"/>
      <c r="W96" s="349"/>
      <c r="X96" s="349"/>
      <c r="Y96" s="349"/>
      <c r="Z96" s="349"/>
      <c r="AA96" s="349"/>
      <c r="AB96" s="349"/>
      <c r="AC96" s="349"/>
      <c r="AD96" s="349"/>
      <c r="AE96" s="349"/>
      <c r="AF96" s="349"/>
      <c r="AG96" s="349"/>
      <c r="AH96" s="349"/>
      <c r="AI96" s="349"/>
      <c r="AJ96" s="349"/>
      <c r="AK96" s="349"/>
      <c r="AL96" s="349"/>
      <c r="AM96" s="349"/>
      <c r="AN96" s="349"/>
      <c r="AO96" s="349"/>
      <c r="AP96" s="349"/>
      <c r="AQ96" s="349"/>
      <c r="AR96" s="349"/>
      <c r="AS96" s="349"/>
      <c r="AT96" s="349"/>
      <c r="AU96" s="349"/>
      <c r="AV96" s="349"/>
      <c r="AW96" s="349"/>
      <c r="AX96" s="349"/>
      <c r="AY96" s="349"/>
      <c r="AZ96" s="349"/>
    </row>
    <row r="97" spans="1:52" x14ac:dyDescent="0.25">
      <c r="A97" s="330"/>
      <c r="B97" s="355"/>
      <c r="C97" s="355"/>
      <c r="D97" s="344"/>
      <c r="E97" s="344"/>
      <c r="F97" s="349"/>
      <c r="G97" s="349"/>
      <c r="H97" s="349"/>
      <c r="I97" s="349"/>
      <c r="J97" s="333"/>
      <c r="K97" s="334"/>
      <c r="L97" s="352"/>
      <c r="M97" s="349"/>
      <c r="N97" s="349"/>
      <c r="O97" s="349"/>
      <c r="P97" s="349"/>
      <c r="Q97" s="349"/>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row>
    <row r="98" spans="1:52" x14ac:dyDescent="0.25">
      <c r="A98" s="330"/>
      <c r="B98" s="355"/>
      <c r="C98" s="355"/>
      <c r="D98" s="344"/>
      <c r="E98" s="344"/>
      <c r="F98" s="349"/>
      <c r="G98" s="349"/>
      <c r="H98" s="349"/>
      <c r="I98" s="349"/>
      <c r="J98" s="333"/>
      <c r="K98" s="334"/>
      <c r="L98" s="352"/>
      <c r="M98" s="349"/>
      <c r="N98" s="349"/>
      <c r="O98" s="349"/>
      <c r="P98" s="349"/>
      <c r="Q98" s="349"/>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row>
    <row r="99" spans="1:52" x14ac:dyDescent="0.25">
      <c r="A99" s="330"/>
      <c r="B99" s="355"/>
      <c r="C99" s="355"/>
      <c r="D99" s="344"/>
      <c r="E99" s="344"/>
      <c r="F99" s="349"/>
      <c r="G99" s="349"/>
      <c r="H99" s="349"/>
      <c r="I99" s="349"/>
      <c r="J99" s="333"/>
      <c r="K99" s="334"/>
      <c r="L99" s="352"/>
      <c r="M99" s="349"/>
      <c r="N99" s="349"/>
      <c r="O99" s="349"/>
      <c r="P99" s="349"/>
      <c r="Q99" s="349"/>
      <c r="R99" s="349"/>
      <c r="S99" s="349"/>
      <c r="T99" s="349"/>
      <c r="U99" s="349"/>
      <c r="V99" s="349"/>
      <c r="W99" s="349"/>
      <c r="X99" s="349"/>
      <c r="Y99" s="349"/>
      <c r="Z99" s="349"/>
      <c r="AA99" s="349"/>
      <c r="AB99" s="349"/>
      <c r="AC99" s="349"/>
      <c r="AD99" s="349"/>
      <c r="AE99" s="349"/>
      <c r="AF99" s="349"/>
      <c r="AG99" s="349"/>
      <c r="AH99" s="349"/>
      <c r="AI99" s="349"/>
      <c r="AJ99" s="349"/>
      <c r="AK99" s="349"/>
      <c r="AL99" s="349"/>
      <c r="AM99" s="349"/>
      <c r="AN99" s="349"/>
      <c r="AO99" s="349"/>
      <c r="AP99" s="349"/>
      <c r="AQ99" s="349"/>
      <c r="AR99" s="349"/>
      <c r="AS99" s="349"/>
      <c r="AT99" s="349"/>
      <c r="AU99" s="349"/>
      <c r="AV99" s="349"/>
      <c r="AW99" s="349"/>
      <c r="AX99" s="349"/>
      <c r="AY99" s="349"/>
      <c r="AZ99" s="349"/>
    </row>
    <row r="100" spans="1:52" x14ac:dyDescent="0.25">
      <c r="A100" s="330"/>
      <c r="B100" s="355"/>
      <c r="C100" s="355"/>
      <c r="D100" s="344"/>
      <c r="E100" s="344"/>
      <c r="F100" s="349"/>
      <c r="G100" s="349"/>
      <c r="H100" s="349"/>
      <c r="I100" s="349"/>
      <c r="J100" s="333"/>
      <c r="K100" s="334"/>
      <c r="L100" s="352"/>
      <c r="M100" s="349"/>
      <c r="N100" s="349"/>
      <c r="O100" s="349"/>
      <c r="P100" s="349"/>
      <c r="Q100" s="349"/>
      <c r="R100" s="349"/>
      <c r="S100" s="349"/>
      <c r="T100" s="349"/>
      <c r="U100" s="349"/>
      <c r="V100" s="349"/>
      <c r="W100" s="349"/>
      <c r="X100" s="349"/>
      <c r="Y100" s="349"/>
      <c r="Z100" s="349"/>
      <c r="AA100" s="349"/>
      <c r="AB100" s="349"/>
      <c r="AC100" s="349"/>
      <c r="AD100" s="349"/>
      <c r="AE100" s="349"/>
      <c r="AF100" s="349"/>
      <c r="AG100" s="349"/>
      <c r="AH100" s="349"/>
      <c r="AI100" s="349"/>
      <c r="AJ100" s="349"/>
      <c r="AK100" s="349"/>
      <c r="AL100" s="349"/>
      <c r="AM100" s="349"/>
      <c r="AN100" s="349"/>
      <c r="AO100" s="349"/>
      <c r="AP100" s="349"/>
      <c r="AQ100" s="349"/>
      <c r="AR100" s="349"/>
      <c r="AS100" s="349"/>
      <c r="AT100" s="349"/>
      <c r="AU100" s="349"/>
      <c r="AV100" s="349"/>
      <c r="AW100" s="349"/>
      <c r="AX100" s="349"/>
      <c r="AY100" s="349"/>
      <c r="AZ100" s="349"/>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G113"/>
  <sheetViews>
    <sheetView zoomScale="70" zoomScaleNormal="70" workbookViewId="0">
      <pane ySplit="1" topLeftCell="A58" activePane="bottomLeft" state="frozen"/>
      <selection pane="bottomLeft" activeCell="Q45" sqref="Q45"/>
    </sheetView>
  </sheetViews>
  <sheetFormatPr defaultRowHeight="14.4" x14ac:dyDescent="0.3"/>
  <cols>
    <col min="1" max="1" width="10.21875" bestFit="1" customWidth="1"/>
    <col min="2" max="2" width="9.21875" customWidth="1"/>
    <col min="3" max="3" width="12.33203125" bestFit="1" customWidth="1"/>
    <col min="4" max="5" width="9.21875" customWidth="1"/>
  </cols>
  <sheetData>
    <row r="1" spans="1:7" x14ac:dyDescent="0.3">
      <c r="A1" s="8" t="s">
        <v>196</v>
      </c>
      <c r="B1" s="9" t="s">
        <v>197</v>
      </c>
      <c r="C1" s="9" t="s">
        <v>198</v>
      </c>
      <c r="D1" s="10" t="s">
        <v>199</v>
      </c>
      <c r="E1" s="11"/>
      <c r="F1" s="11"/>
      <c r="G1" s="11"/>
    </row>
    <row r="2" spans="1:7" x14ac:dyDescent="0.3">
      <c r="A2" s="12" t="s">
        <v>200</v>
      </c>
      <c r="B2" s="13">
        <v>1</v>
      </c>
      <c r="C2" s="14">
        <v>40999</v>
      </c>
      <c r="D2" s="11" t="str">
        <f>A2</f>
        <v>1Q12</v>
      </c>
      <c r="E2" s="11"/>
      <c r="F2" s="11"/>
      <c r="G2" s="11"/>
    </row>
    <row r="3" spans="1:7" x14ac:dyDescent="0.3">
      <c r="A3" s="12" t="s">
        <v>201</v>
      </c>
      <c r="B3" s="13">
        <v>2</v>
      </c>
      <c r="C3" s="14">
        <v>41090</v>
      </c>
      <c r="D3" s="11" t="str">
        <f t="shared" ref="D3:D66" si="0">A3</f>
        <v>2Q12</v>
      </c>
      <c r="E3" s="15"/>
      <c r="F3" s="15"/>
      <c r="G3" s="15"/>
    </row>
    <row r="4" spans="1:7" x14ac:dyDescent="0.3">
      <c r="A4" s="12" t="s">
        <v>202</v>
      </c>
      <c r="B4" s="13">
        <v>3</v>
      </c>
      <c r="C4" s="14">
        <v>41182</v>
      </c>
      <c r="D4" s="11" t="str">
        <f t="shared" si="0"/>
        <v>3Q12</v>
      </c>
      <c r="E4" s="15"/>
      <c r="F4" s="15"/>
      <c r="G4" s="15"/>
    </row>
    <row r="5" spans="1:7" x14ac:dyDescent="0.3">
      <c r="A5" s="12" t="s">
        <v>203</v>
      </c>
      <c r="B5" s="13">
        <v>4</v>
      </c>
      <c r="C5" s="14">
        <v>41274</v>
      </c>
      <c r="D5" s="11" t="str">
        <f t="shared" si="0"/>
        <v>4Q12</v>
      </c>
      <c r="E5" s="15"/>
      <c r="F5" s="15"/>
      <c r="G5" s="15"/>
    </row>
    <row r="6" spans="1:7" x14ac:dyDescent="0.3">
      <c r="A6" s="12" t="s">
        <v>204</v>
      </c>
      <c r="B6" s="13">
        <v>5</v>
      </c>
      <c r="C6" s="14">
        <v>41364</v>
      </c>
      <c r="D6" s="11" t="str">
        <f t="shared" si="0"/>
        <v>1Q13</v>
      </c>
      <c r="E6" s="15"/>
      <c r="F6" s="15"/>
      <c r="G6" s="15"/>
    </row>
    <row r="7" spans="1:7" x14ac:dyDescent="0.3">
      <c r="A7" s="12" t="s">
        <v>205</v>
      </c>
      <c r="B7" s="13">
        <v>6</v>
      </c>
      <c r="C7" s="14">
        <v>41455</v>
      </c>
      <c r="D7" s="11" t="str">
        <f t="shared" si="0"/>
        <v>2Q13</v>
      </c>
      <c r="E7" s="15"/>
      <c r="F7" s="11"/>
      <c r="G7" s="11"/>
    </row>
    <row r="8" spans="1:7" x14ac:dyDescent="0.3">
      <c r="A8" s="12" t="s">
        <v>206</v>
      </c>
      <c r="B8" s="13">
        <v>7</v>
      </c>
      <c r="C8" s="14">
        <v>41547</v>
      </c>
      <c r="D8" s="11" t="str">
        <f t="shared" si="0"/>
        <v>3Q13</v>
      </c>
      <c r="E8" s="15"/>
      <c r="F8" s="11"/>
      <c r="G8" s="11"/>
    </row>
    <row r="9" spans="1:7" x14ac:dyDescent="0.3">
      <c r="A9" s="12" t="s">
        <v>207</v>
      </c>
      <c r="B9" s="13">
        <v>8</v>
      </c>
      <c r="C9" s="14">
        <v>41639</v>
      </c>
      <c r="D9" s="11" t="str">
        <f t="shared" si="0"/>
        <v>4Q13</v>
      </c>
      <c r="E9" s="15"/>
    </row>
    <row r="10" spans="1:7" x14ac:dyDescent="0.3">
      <c r="A10" s="12" t="s">
        <v>208</v>
      </c>
      <c r="B10" s="13">
        <v>9</v>
      </c>
      <c r="C10" s="14">
        <v>41729</v>
      </c>
      <c r="D10" s="11" t="str">
        <f t="shared" si="0"/>
        <v>1Q14</v>
      </c>
      <c r="E10" s="15"/>
    </row>
    <row r="11" spans="1:7" x14ac:dyDescent="0.3">
      <c r="A11" s="12" t="s">
        <v>209</v>
      </c>
      <c r="B11" s="13">
        <v>10</v>
      </c>
      <c r="C11" s="14">
        <v>41820</v>
      </c>
      <c r="D11" s="11" t="str">
        <f t="shared" si="0"/>
        <v>2Q14</v>
      </c>
      <c r="E11" s="15"/>
    </row>
    <row r="12" spans="1:7" x14ac:dyDescent="0.3">
      <c r="A12" s="12" t="s">
        <v>210</v>
      </c>
      <c r="B12" s="13">
        <v>11</v>
      </c>
      <c r="C12" s="14">
        <v>41912</v>
      </c>
      <c r="D12" s="11" t="str">
        <f t="shared" si="0"/>
        <v>3Q14</v>
      </c>
      <c r="E12" s="15"/>
    </row>
    <row r="13" spans="1:7" x14ac:dyDescent="0.3">
      <c r="A13" s="12" t="s">
        <v>211</v>
      </c>
      <c r="B13" s="13">
        <v>12</v>
      </c>
      <c r="C13" s="14">
        <v>42004</v>
      </c>
      <c r="D13" s="11" t="str">
        <f t="shared" si="0"/>
        <v>4Q14</v>
      </c>
      <c r="E13" s="15"/>
    </row>
    <row r="14" spans="1:7" x14ac:dyDescent="0.3">
      <c r="A14" s="12" t="s">
        <v>212</v>
      </c>
      <c r="B14" s="13">
        <v>13</v>
      </c>
      <c r="C14" s="14">
        <v>42094</v>
      </c>
      <c r="D14" s="11" t="str">
        <f t="shared" si="0"/>
        <v>1Q15</v>
      </c>
      <c r="E14" s="15"/>
    </row>
    <row r="15" spans="1:7" x14ac:dyDescent="0.3">
      <c r="A15" s="12" t="s">
        <v>213</v>
      </c>
      <c r="B15" s="13">
        <v>14</v>
      </c>
      <c r="C15" s="14">
        <v>42185</v>
      </c>
      <c r="D15" s="11" t="str">
        <f t="shared" si="0"/>
        <v>2Q15</v>
      </c>
      <c r="E15" s="15"/>
    </row>
    <row r="16" spans="1:7" x14ac:dyDescent="0.3">
      <c r="A16" s="12" t="s">
        <v>214</v>
      </c>
      <c r="B16" s="13">
        <v>15</v>
      </c>
      <c r="C16" s="14">
        <v>42277</v>
      </c>
      <c r="D16" s="11" t="str">
        <f t="shared" si="0"/>
        <v>3Q15</v>
      </c>
      <c r="E16" s="15"/>
    </row>
    <row r="17" spans="1:7" x14ac:dyDescent="0.3">
      <c r="A17" s="12" t="s">
        <v>215</v>
      </c>
      <c r="B17" s="13">
        <v>16</v>
      </c>
      <c r="C17" s="14">
        <v>42369</v>
      </c>
      <c r="D17" s="11" t="str">
        <f t="shared" si="0"/>
        <v>4Q15</v>
      </c>
      <c r="E17" s="15"/>
    </row>
    <row r="18" spans="1:7" x14ac:dyDescent="0.3">
      <c r="A18" s="12" t="s">
        <v>216</v>
      </c>
      <c r="B18" s="13">
        <v>17</v>
      </c>
      <c r="C18" s="14">
        <v>42460</v>
      </c>
      <c r="D18" s="11" t="str">
        <f t="shared" si="0"/>
        <v>1Q16</v>
      </c>
      <c r="E18" s="15"/>
    </row>
    <row r="19" spans="1:7" x14ac:dyDescent="0.3">
      <c r="A19" s="12" t="s">
        <v>217</v>
      </c>
      <c r="B19" s="13">
        <v>18</v>
      </c>
      <c r="C19" s="14">
        <v>42551</v>
      </c>
      <c r="D19" s="11" t="str">
        <f t="shared" si="0"/>
        <v>2Q16</v>
      </c>
      <c r="E19" s="15"/>
    </row>
    <row r="20" spans="1:7" x14ac:dyDescent="0.3">
      <c r="A20" s="12" t="s">
        <v>218</v>
      </c>
      <c r="B20" s="13">
        <v>19</v>
      </c>
      <c r="C20" s="14">
        <v>42643</v>
      </c>
      <c r="D20" s="11" t="str">
        <f t="shared" si="0"/>
        <v>3Q16</v>
      </c>
      <c r="E20" s="15"/>
    </row>
    <row r="21" spans="1:7" x14ac:dyDescent="0.3">
      <c r="A21" s="12" t="s">
        <v>219</v>
      </c>
      <c r="B21" s="13">
        <v>20</v>
      </c>
      <c r="C21" s="14">
        <v>42735</v>
      </c>
      <c r="D21" s="11" t="str">
        <f t="shared" si="0"/>
        <v>4Q16</v>
      </c>
      <c r="E21" s="15"/>
    </row>
    <row r="22" spans="1:7" x14ac:dyDescent="0.3">
      <c r="A22" s="12" t="s">
        <v>220</v>
      </c>
      <c r="B22" s="13">
        <v>21</v>
      </c>
      <c r="C22" s="14">
        <v>42825</v>
      </c>
      <c r="D22" s="11" t="str">
        <f t="shared" si="0"/>
        <v>1Q17</v>
      </c>
      <c r="E22" s="15"/>
    </row>
    <row r="23" spans="1:7" x14ac:dyDescent="0.3">
      <c r="A23" s="12" t="s">
        <v>221</v>
      </c>
      <c r="B23" s="13">
        <v>22</v>
      </c>
      <c r="C23" s="14">
        <v>42916</v>
      </c>
      <c r="D23" s="11" t="str">
        <f t="shared" si="0"/>
        <v>2Q17</v>
      </c>
    </row>
    <row r="24" spans="1:7" x14ac:dyDescent="0.3">
      <c r="A24" s="12" t="s">
        <v>222</v>
      </c>
      <c r="B24" s="13">
        <v>23</v>
      </c>
      <c r="C24" s="14">
        <v>43008</v>
      </c>
      <c r="D24" s="11" t="str">
        <f t="shared" si="0"/>
        <v>3Q17</v>
      </c>
    </row>
    <row r="25" spans="1:7" x14ac:dyDescent="0.3">
      <c r="A25" s="12" t="s">
        <v>223</v>
      </c>
      <c r="B25" s="13">
        <v>24</v>
      </c>
      <c r="C25" s="14">
        <v>43100</v>
      </c>
      <c r="D25" s="11" t="str">
        <f t="shared" si="0"/>
        <v>4Q17</v>
      </c>
      <c r="E25" s="11"/>
      <c r="F25" s="11"/>
      <c r="G25" s="11"/>
    </row>
    <row r="26" spans="1:7" x14ac:dyDescent="0.3">
      <c r="A26" s="12" t="s">
        <v>224</v>
      </c>
      <c r="B26" s="13">
        <v>25</v>
      </c>
      <c r="C26" s="14">
        <v>43190</v>
      </c>
      <c r="D26" s="11" t="str">
        <f t="shared" si="0"/>
        <v>1Q18</v>
      </c>
    </row>
    <row r="27" spans="1:7" x14ac:dyDescent="0.3">
      <c r="A27" s="12" t="s">
        <v>225</v>
      </c>
      <c r="B27" s="13">
        <v>26</v>
      </c>
      <c r="C27" s="14">
        <v>43281</v>
      </c>
      <c r="D27" s="11" t="str">
        <f t="shared" si="0"/>
        <v>2Q18</v>
      </c>
    </row>
    <row r="28" spans="1:7" x14ac:dyDescent="0.3">
      <c r="A28" s="12" t="s">
        <v>226</v>
      </c>
      <c r="B28" s="13">
        <v>27</v>
      </c>
      <c r="C28" s="14">
        <v>43373</v>
      </c>
      <c r="D28" s="11" t="str">
        <f t="shared" si="0"/>
        <v>3Q18</v>
      </c>
    </row>
    <row r="29" spans="1:7" x14ac:dyDescent="0.3">
      <c r="A29" s="12" t="s">
        <v>227</v>
      </c>
      <c r="B29" s="13">
        <v>28</v>
      </c>
      <c r="C29" s="14">
        <v>43465</v>
      </c>
      <c r="D29" s="11" t="str">
        <f t="shared" si="0"/>
        <v>4Q18</v>
      </c>
    </row>
    <row r="30" spans="1:7" x14ac:dyDescent="0.3">
      <c r="A30" s="12" t="s">
        <v>228</v>
      </c>
      <c r="B30" s="13">
        <v>29</v>
      </c>
      <c r="C30" s="14">
        <v>43555</v>
      </c>
      <c r="D30" s="11" t="str">
        <f t="shared" si="0"/>
        <v>1Q19</v>
      </c>
      <c r="E30" s="11"/>
      <c r="F30" s="11"/>
      <c r="G30" s="11"/>
    </row>
    <row r="31" spans="1:7" x14ac:dyDescent="0.3">
      <c r="A31" s="12" t="s">
        <v>229</v>
      </c>
      <c r="B31" s="13">
        <v>30</v>
      </c>
      <c r="C31" s="14">
        <v>43646</v>
      </c>
      <c r="D31" s="11" t="str">
        <f t="shared" si="0"/>
        <v>2Q19</v>
      </c>
      <c r="E31" s="11"/>
      <c r="F31" s="11"/>
      <c r="G31" s="11"/>
    </row>
    <row r="32" spans="1:7" x14ac:dyDescent="0.3">
      <c r="A32" s="12" t="s">
        <v>230</v>
      </c>
      <c r="B32" s="13">
        <v>31</v>
      </c>
      <c r="C32" s="14">
        <v>43738</v>
      </c>
      <c r="D32" s="11" t="str">
        <f t="shared" si="0"/>
        <v>3Q19</v>
      </c>
      <c r="E32" s="11"/>
      <c r="F32" s="11"/>
      <c r="G32" s="11"/>
    </row>
    <row r="33" spans="1:7" x14ac:dyDescent="0.3">
      <c r="A33" s="12" t="s">
        <v>231</v>
      </c>
      <c r="B33" s="13">
        <v>32</v>
      </c>
      <c r="C33" s="14">
        <v>43830</v>
      </c>
      <c r="D33" s="11" t="str">
        <f t="shared" si="0"/>
        <v>4Q19</v>
      </c>
      <c r="E33" s="11"/>
      <c r="F33" s="11"/>
      <c r="G33" s="11"/>
    </row>
    <row r="34" spans="1:7" x14ac:dyDescent="0.3">
      <c r="A34" s="12" t="s">
        <v>232</v>
      </c>
      <c r="B34" s="13">
        <v>33</v>
      </c>
      <c r="C34" s="14">
        <v>43921</v>
      </c>
      <c r="D34" s="11" t="str">
        <f t="shared" si="0"/>
        <v>1Q20</v>
      </c>
      <c r="E34" s="11"/>
      <c r="F34" s="11"/>
      <c r="G34" s="11"/>
    </row>
    <row r="35" spans="1:7" x14ac:dyDescent="0.3">
      <c r="A35" s="12" t="s">
        <v>233</v>
      </c>
      <c r="B35" s="13">
        <v>34</v>
      </c>
      <c r="C35" s="14">
        <v>44012</v>
      </c>
      <c r="D35" s="11" t="str">
        <f t="shared" si="0"/>
        <v>2Q20</v>
      </c>
      <c r="E35" s="11"/>
      <c r="F35" s="11"/>
      <c r="G35" s="11"/>
    </row>
    <row r="36" spans="1:7" x14ac:dyDescent="0.3">
      <c r="A36" s="12" t="s">
        <v>234</v>
      </c>
      <c r="B36" s="13">
        <v>35</v>
      </c>
      <c r="C36" s="14">
        <v>44104</v>
      </c>
      <c r="D36" s="11" t="str">
        <f t="shared" si="0"/>
        <v>3Q20</v>
      </c>
      <c r="E36" s="11"/>
      <c r="F36" s="11"/>
      <c r="G36" s="11"/>
    </row>
    <row r="37" spans="1:7" x14ac:dyDescent="0.3">
      <c r="A37" s="12" t="s">
        <v>235</v>
      </c>
      <c r="B37" s="13">
        <v>36</v>
      </c>
      <c r="C37" s="14">
        <v>44196</v>
      </c>
      <c r="D37" s="11" t="str">
        <f t="shared" si="0"/>
        <v>4Q20</v>
      </c>
      <c r="E37" s="11"/>
      <c r="F37" s="11"/>
      <c r="G37" s="11"/>
    </row>
    <row r="38" spans="1:7" x14ac:dyDescent="0.3">
      <c r="A38" s="12" t="s">
        <v>236</v>
      </c>
      <c r="B38" s="13">
        <v>37</v>
      </c>
      <c r="C38" s="14">
        <v>44286</v>
      </c>
      <c r="D38" s="11" t="str">
        <f t="shared" si="0"/>
        <v>1Q21</v>
      </c>
      <c r="E38" s="11"/>
      <c r="F38" s="11"/>
      <c r="G38" s="11"/>
    </row>
    <row r="39" spans="1:7" x14ac:dyDescent="0.3">
      <c r="A39" s="12" t="s">
        <v>237</v>
      </c>
      <c r="B39" s="13">
        <v>38</v>
      </c>
      <c r="C39" s="14">
        <v>44377</v>
      </c>
      <c r="D39" s="11" t="str">
        <f t="shared" si="0"/>
        <v>2Q21</v>
      </c>
      <c r="E39" s="11"/>
      <c r="F39" s="11"/>
      <c r="G39" s="11"/>
    </row>
    <row r="40" spans="1:7" x14ac:dyDescent="0.3">
      <c r="A40" s="12" t="s">
        <v>238</v>
      </c>
      <c r="B40" s="13">
        <v>39</v>
      </c>
      <c r="C40" s="14">
        <v>44469</v>
      </c>
      <c r="D40" s="11" t="str">
        <f t="shared" si="0"/>
        <v>3Q21</v>
      </c>
      <c r="E40" s="11"/>
      <c r="F40" s="11"/>
      <c r="G40" s="11"/>
    </row>
    <row r="41" spans="1:7" x14ac:dyDescent="0.3">
      <c r="A41" s="12" t="s">
        <v>239</v>
      </c>
      <c r="B41" s="13">
        <v>40</v>
      </c>
      <c r="C41" s="14">
        <v>44561</v>
      </c>
      <c r="D41" s="11" t="str">
        <f t="shared" si="0"/>
        <v>4Q21</v>
      </c>
      <c r="E41" s="11"/>
      <c r="F41" s="11"/>
      <c r="G41" s="11"/>
    </row>
    <row r="42" spans="1:7" x14ac:dyDescent="0.3">
      <c r="A42" s="12" t="s">
        <v>240</v>
      </c>
      <c r="B42" s="13">
        <v>41</v>
      </c>
      <c r="C42" s="14">
        <v>44651</v>
      </c>
      <c r="D42" s="11" t="str">
        <f t="shared" si="0"/>
        <v>1Q22</v>
      </c>
      <c r="E42" s="11"/>
      <c r="F42" s="11"/>
      <c r="G42" s="11"/>
    </row>
    <row r="43" spans="1:7" x14ac:dyDescent="0.3">
      <c r="A43" s="12" t="s">
        <v>241</v>
      </c>
      <c r="B43" s="13">
        <v>42</v>
      </c>
      <c r="C43" s="14">
        <v>44742</v>
      </c>
      <c r="D43" s="11" t="str">
        <f t="shared" si="0"/>
        <v>2Q22</v>
      </c>
      <c r="E43" s="11"/>
      <c r="F43" s="11"/>
      <c r="G43" s="11"/>
    </row>
    <row r="44" spans="1:7" x14ac:dyDescent="0.3">
      <c r="A44" s="12" t="s">
        <v>242</v>
      </c>
      <c r="B44" s="13">
        <v>43</v>
      </c>
      <c r="C44" s="14">
        <v>44834</v>
      </c>
      <c r="D44" s="11" t="str">
        <f t="shared" si="0"/>
        <v>3Q22</v>
      </c>
      <c r="E44" s="11"/>
      <c r="F44" s="11"/>
      <c r="G44" s="11"/>
    </row>
    <row r="45" spans="1:7" x14ac:dyDescent="0.3">
      <c r="A45" s="12" t="s">
        <v>243</v>
      </c>
      <c r="B45" s="13">
        <v>44</v>
      </c>
      <c r="C45" s="14">
        <v>44926</v>
      </c>
      <c r="D45" s="11" t="str">
        <f t="shared" si="0"/>
        <v>4Q22</v>
      </c>
      <c r="E45" s="11"/>
      <c r="F45" s="11"/>
      <c r="G45" s="11"/>
    </row>
    <row r="46" spans="1:7" x14ac:dyDescent="0.3">
      <c r="A46" s="12" t="s">
        <v>244</v>
      </c>
      <c r="B46" s="13">
        <v>45</v>
      </c>
      <c r="C46" s="14">
        <v>45016</v>
      </c>
      <c r="D46" s="11" t="str">
        <f t="shared" si="0"/>
        <v>1Q23</v>
      </c>
      <c r="E46" s="11"/>
      <c r="F46" s="11"/>
      <c r="G46" s="11"/>
    </row>
    <row r="47" spans="1:7" x14ac:dyDescent="0.3">
      <c r="A47" s="12" t="s">
        <v>245</v>
      </c>
      <c r="B47" s="13">
        <v>46</v>
      </c>
      <c r="C47" s="14">
        <v>45107</v>
      </c>
      <c r="D47" s="11" t="str">
        <f t="shared" si="0"/>
        <v>2Q23</v>
      </c>
      <c r="E47" s="11"/>
      <c r="F47" s="11"/>
      <c r="G47" s="11"/>
    </row>
    <row r="48" spans="1:7" x14ac:dyDescent="0.3">
      <c r="A48" s="12" t="s">
        <v>246</v>
      </c>
      <c r="B48" s="13">
        <v>47</v>
      </c>
      <c r="C48" s="14">
        <v>45199</v>
      </c>
      <c r="D48" s="11" t="str">
        <f t="shared" si="0"/>
        <v>3Q23</v>
      </c>
      <c r="E48" s="11"/>
      <c r="F48" s="11"/>
      <c r="G48" s="11"/>
    </row>
    <row r="49" spans="1:7" x14ac:dyDescent="0.3">
      <c r="A49" s="12" t="s">
        <v>247</v>
      </c>
      <c r="B49" s="13">
        <v>48</v>
      </c>
      <c r="C49" s="14">
        <v>45291</v>
      </c>
      <c r="D49" s="11" t="str">
        <f t="shared" si="0"/>
        <v>4Q23</v>
      </c>
      <c r="E49" s="11"/>
      <c r="F49" s="11"/>
      <c r="G49" s="11"/>
    </row>
    <row r="50" spans="1:7" x14ac:dyDescent="0.3">
      <c r="A50" s="12" t="s">
        <v>248</v>
      </c>
      <c r="B50" s="13">
        <v>49</v>
      </c>
      <c r="C50" s="14">
        <v>45382</v>
      </c>
      <c r="D50" s="11" t="str">
        <f t="shared" si="0"/>
        <v>1Q24</v>
      </c>
      <c r="E50" s="11"/>
      <c r="F50" s="11"/>
      <c r="G50" s="11"/>
    </row>
    <row r="51" spans="1:7" x14ac:dyDescent="0.3">
      <c r="A51" s="12" t="s">
        <v>249</v>
      </c>
      <c r="B51" s="13">
        <v>50</v>
      </c>
      <c r="C51" s="14">
        <v>45473</v>
      </c>
      <c r="D51" s="11" t="str">
        <f t="shared" si="0"/>
        <v>2Q24</v>
      </c>
    </row>
    <row r="52" spans="1:7" x14ac:dyDescent="0.3">
      <c r="A52" s="12" t="s">
        <v>250</v>
      </c>
      <c r="B52" s="13">
        <v>51</v>
      </c>
      <c r="C52" s="14">
        <v>45565</v>
      </c>
      <c r="D52" s="11" t="str">
        <f t="shared" si="0"/>
        <v>3Q24</v>
      </c>
    </row>
    <row r="53" spans="1:7" x14ac:dyDescent="0.3">
      <c r="A53" s="12" t="s">
        <v>251</v>
      </c>
      <c r="B53" s="13">
        <v>52</v>
      </c>
      <c r="C53" s="14">
        <v>45657</v>
      </c>
      <c r="D53" s="11" t="str">
        <f t="shared" si="0"/>
        <v>4Q24</v>
      </c>
    </row>
    <row r="54" spans="1:7" x14ac:dyDescent="0.3">
      <c r="A54" s="12" t="s">
        <v>252</v>
      </c>
      <c r="B54" s="13">
        <v>53</v>
      </c>
      <c r="C54" s="14">
        <v>45747</v>
      </c>
      <c r="D54" s="11" t="str">
        <f t="shared" si="0"/>
        <v>1Q25</v>
      </c>
    </row>
    <row r="55" spans="1:7" x14ac:dyDescent="0.3">
      <c r="A55" s="12" t="s">
        <v>253</v>
      </c>
      <c r="B55" s="13">
        <v>54</v>
      </c>
      <c r="C55" s="14">
        <v>45838</v>
      </c>
      <c r="D55" s="11" t="str">
        <f t="shared" si="0"/>
        <v>2Q25</v>
      </c>
    </row>
    <row r="56" spans="1:7" x14ac:dyDescent="0.3">
      <c r="A56" s="12" t="s">
        <v>254</v>
      </c>
      <c r="B56" s="13">
        <v>55</v>
      </c>
      <c r="C56" s="14">
        <v>45930</v>
      </c>
      <c r="D56" s="11" t="str">
        <f t="shared" si="0"/>
        <v>3Q25</v>
      </c>
    </row>
    <row r="57" spans="1:7" x14ac:dyDescent="0.3">
      <c r="A57" s="12" t="s">
        <v>255</v>
      </c>
      <c r="B57" s="13">
        <v>56</v>
      </c>
      <c r="C57" s="14">
        <v>46022</v>
      </c>
      <c r="D57" s="11" t="str">
        <f t="shared" si="0"/>
        <v>4Q25</v>
      </c>
    </row>
    <row r="58" spans="1:7" x14ac:dyDescent="0.3">
      <c r="A58" s="12" t="s">
        <v>256</v>
      </c>
      <c r="B58" s="13">
        <v>57</v>
      </c>
      <c r="C58" s="14">
        <v>46112</v>
      </c>
      <c r="D58" s="11" t="str">
        <f t="shared" si="0"/>
        <v>1Q26</v>
      </c>
    </row>
    <row r="59" spans="1:7" x14ac:dyDescent="0.3">
      <c r="A59" s="12" t="s">
        <v>257</v>
      </c>
      <c r="B59" s="13">
        <v>58</v>
      </c>
      <c r="C59" s="14">
        <v>46203</v>
      </c>
      <c r="D59" s="11" t="str">
        <f t="shared" si="0"/>
        <v>2Q26</v>
      </c>
    </row>
    <row r="60" spans="1:7" x14ac:dyDescent="0.3">
      <c r="A60" s="12" t="s">
        <v>258</v>
      </c>
      <c r="B60" s="13">
        <v>59</v>
      </c>
      <c r="C60" s="14">
        <v>46295</v>
      </c>
      <c r="D60" s="11" t="str">
        <f t="shared" si="0"/>
        <v>3Q26</v>
      </c>
    </row>
    <row r="61" spans="1:7" x14ac:dyDescent="0.3">
      <c r="A61" s="12" t="s">
        <v>259</v>
      </c>
      <c r="B61" s="13">
        <v>60</v>
      </c>
      <c r="C61" s="14">
        <v>46387</v>
      </c>
      <c r="D61" s="11" t="str">
        <f t="shared" si="0"/>
        <v>4Q26</v>
      </c>
    </row>
    <row r="62" spans="1:7" x14ac:dyDescent="0.3">
      <c r="A62" s="12" t="s">
        <v>260</v>
      </c>
      <c r="B62" s="13">
        <v>61</v>
      </c>
      <c r="C62" s="14">
        <v>46477</v>
      </c>
      <c r="D62" s="11" t="str">
        <f t="shared" si="0"/>
        <v>1Q27</v>
      </c>
    </row>
    <row r="63" spans="1:7" x14ac:dyDescent="0.3">
      <c r="A63" s="12" t="s">
        <v>261</v>
      </c>
      <c r="B63" s="13">
        <v>62</v>
      </c>
      <c r="C63" s="14">
        <v>46568</v>
      </c>
      <c r="D63" s="11" t="str">
        <f t="shared" si="0"/>
        <v>2Q27</v>
      </c>
    </row>
    <row r="64" spans="1:7" x14ac:dyDescent="0.3">
      <c r="A64" s="12" t="s">
        <v>262</v>
      </c>
      <c r="B64" s="13">
        <v>63</v>
      </c>
      <c r="C64" s="14">
        <v>46660</v>
      </c>
      <c r="D64" s="11" t="str">
        <f t="shared" si="0"/>
        <v>3Q27</v>
      </c>
    </row>
    <row r="65" spans="1:4" x14ac:dyDescent="0.3">
      <c r="A65" s="12" t="s">
        <v>263</v>
      </c>
      <c r="B65" s="13">
        <v>64</v>
      </c>
      <c r="C65" s="14">
        <v>46752</v>
      </c>
      <c r="D65" s="11" t="str">
        <f t="shared" si="0"/>
        <v>4Q27</v>
      </c>
    </row>
    <row r="66" spans="1:4" x14ac:dyDescent="0.3">
      <c r="A66" s="12" t="s">
        <v>264</v>
      </c>
      <c r="B66" s="13">
        <v>65</v>
      </c>
      <c r="C66" s="14">
        <v>46843</v>
      </c>
      <c r="D66" s="11" t="str">
        <f t="shared" si="0"/>
        <v>1Q28</v>
      </c>
    </row>
    <row r="67" spans="1:4" x14ac:dyDescent="0.3">
      <c r="A67" s="12" t="s">
        <v>265</v>
      </c>
      <c r="B67" s="13">
        <v>66</v>
      </c>
      <c r="C67" s="14">
        <v>46934</v>
      </c>
      <c r="D67" s="11" t="str">
        <f t="shared" ref="D67:D93" si="1">A67</f>
        <v>2Q28</v>
      </c>
    </row>
    <row r="68" spans="1:4" x14ac:dyDescent="0.3">
      <c r="A68" s="12" t="s">
        <v>266</v>
      </c>
      <c r="B68" s="13">
        <v>67</v>
      </c>
      <c r="C68" s="14">
        <v>47026</v>
      </c>
      <c r="D68" s="11" t="str">
        <f t="shared" si="1"/>
        <v>3Q28</v>
      </c>
    </row>
    <row r="69" spans="1:4" x14ac:dyDescent="0.3">
      <c r="A69" s="12" t="s">
        <v>267</v>
      </c>
      <c r="B69" s="13">
        <v>68</v>
      </c>
      <c r="C69" s="14">
        <v>47118</v>
      </c>
      <c r="D69" s="11" t="str">
        <f t="shared" si="1"/>
        <v>4Q28</v>
      </c>
    </row>
    <row r="70" spans="1:4" x14ac:dyDescent="0.3">
      <c r="A70" s="12" t="s">
        <v>268</v>
      </c>
      <c r="B70" s="13">
        <v>69</v>
      </c>
      <c r="C70" s="14">
        <v>47208</v>
      </c>
      <c r="D70" s="11" t="str">
        <f t="shared" si="1"/>
        <v>1Q29</v>
      </c>
    </row>
    <row r="71" spans="1:4" x14ac:dyDescent="0.3">
      <c r="A71" s="12" t="s">
        <v>269</v>
      </c>
      <c r="B71" s="13">
        <v>70</v>
      </c>
      <c r="C71" s="14">
        <v>47299</v>
      </c>
      <c r="D71" s="11" t="str">
        <f t="shared" si="1"/>
        <v>2Q29</v>
      </c>
    </row>
    <row r="72" spans="1:4" x14ac:dyDescent="0.3">
      <c r="A72" s="12" t="s">
        <v>270</v>
      </c>
      <c r="B72" s="13">
        <v>71</v>
      </c>
      <c r="C72" s="14">
        <v>47391</v>
      </c>
      <c r="D72" s="11" t="str">
        <f t="shared" si="1"/>
        <v>3Q29</v>
      </c>
    </row>
    <row r="73" spans="1:4" x14ac:dyDescent="0.3">
      <c r="A73" s="12" t="s">
        <v>271</v>
      </c>
      <c r="B73" s="13">
        <v>72</v>
      </c>
      <c r="C73" s="14">
        <v>47483</v>
      </c>
      <c r="D73" s="11" t="str">
        <f t="shared" si="1"/>
        <v>4Q29</v>
      </c>
    </row>
    <row r="74" spans="1:4" x14ac:dyDescent="0.3">
      <c r="A74" s="12" t="s">
        <v>272</v>
      </c>
      <c r="B74" s="13">
        <v>73</v>
      </c>
      <c r="C74" s="14">
        <v>47573</v>
      </c>
      <c r="D74" s="11" t="str">
        <f t="shared" si="1"/>
        <v>1Q30</v>
      </c>
    </row>
    <row r="75" spans="1:4" x14ac:dyDescent="0.3">
      <c r="A75" s="12" t="s">
        <v>273</v>
      </c>
      <c r="B75" s="13">
        <v>74</v>
      </c>
      <c r="C75" s="14">
        <v>47664</v>
      </c>
      <c r="D75" s="11" t="str">
        <f t="shared" si="1"/>
        <v>2Q30</v>
      </c>
    </row>
    <row r="76" spans="1:4" x14ac:dyDescent="0.3">
      <c r="A76" s="12" t="s">
        <v>274</v>
      </c>
      <c r="B76" s="13">
        <v>75</v>
      </c>
      <c r="C76" s="14">
        <v>47756</v>
      </c>
      <c r="D76" s="11" t="str">
        <f t="shared" si="1"/>
        <v>3Q30</v>
      </c>
    </row>
    <row r="77" spans="1:4" x14ac:dyDescent="0.3">
      <c r="A77" s="12" t="s">
        <v>275</v>
      </c>
      <c r="B77" s="13">
        <v>76</v>
      </c>
      <c r="C77" s="14">
        <v>47848</v>
      </c>
      <c r="D77" s="11" t="str">
        <f t="shared" si="1"/>
        <v>4Q30</v>
      </c>
    </row>
    <row r="78" spans="1:4" x14ac:dyDescent="0.3">
      <c r="A78" s="12" t="s">
        <v>276</v>
      </c>
      <c r="B78" s="13">
        <v>77</v>
      </c>
      <c r="C78" s="14">
        <v>47938</v>
      </c>
      <c r="D78" s="11" t="str">
        <f t="shared" si="1"/>
        <v>1Q31</v>
      </c>
    </row>
    <row r="79" spans="1:4" x14ac:dyDescent="0.3">
      <c r="A79" s="12" t="s">
        <v>277</v>
      </c>
      <c r="B79" s="13">
        <v>78</v>
      </c>
      <c r="C79" s="14">
        <v>48029</v>
      </c>
      <c r="D79" s="11" t="str">
        <f t="shared" si="1"/>
        <v>2Q31</v>
      </c>
    </row>
    <row r="80" spans="1:4" x14ac:dyDescent="0.3">
      <c r="A80" s="12" t="s">
        <v>278</v>
      </c>
      <c r="B80" s="13">
        <v>79</v>
      </c>
      <c r="C80" s="14">
        <v>48121</v>
      </c>
      <c r="D80" s="11" t="str">
        <f t="shared" si="1"/>
        <v>3Q31</v>
      </c>
    </row>
    <row r="81" spans="1:4" x14ac:dyDescent="0.3">
      <c r="A81" s="12" t="s">
        <v>279</v>
      </c>
      <c r="B81" s="13">
        <v>80</v>
      </c>
      <c r="C81" s="14">
        <v>48213</v>
      </c>
      <c r="D81" s="11" t="str">
        <f t="shared" si="1"/>
        <v>4Q31</v>
      </c>
    </row>
    <row r="82" spans="1:4" x14ac:dyDescent="0.3">
      <c r="A82" s="12" t="s">
        <v>280</v>
      </c>
      <c r="B82" s="13">
        <v>81</v>
      </c>
      <c r="C82" s="14">
        <v>48304</v>
      </c>
      <c r="D82" s="11" t="str">
        <f t="shared" si="1"/>
        <v>1Q32</v>
      </c>
    </row>
    <row r="83" spans="1:4" x14ac:dyDescent="0.3">
      <c r="A83" s="12" t="s">
        <v>281</v>
      </c>
      <c r="B83" s="13">
        <v>82</v>
      </c>
      <c r="C83" s="14">
        <v>48395</v>
      </c>
      <c r="D83" s="11" t="str">
        <f t="shared" si="1"/>
        <v>2Q32</v>
      </c>
    </row>
    <row r="84" spans="1:4" x14ac:dyDescent="0.3">
      <c r="A84" s="12" t="s">
        <v>282</v>
      </c>
      <c r="B84" s="13">
        <v>83</v>
      </c>
      <c r="C84" s="14">
        <v>48487</v>
      </c>
      <c r="D84" s="11" t="str">
        <f t="shared" si="1"/>
        <v>3Q32</v>
      </c>
    </row>
    <row r="85" spans="1:4" x14ac:dyDescent="0.3">
      <c r="A85" s="12" t="s">
        <v>283</v>
      </c>
      <c r="B85" s="13">
        <v>84</v>
      </c>
      <c r="C85" s="14">
        <v>48579</v>
      </c>
      <c r="D85" s="11" t="str">
        <f t="shared" si="1"/>
        <v>4Q32</v>
      </c>
    </row>
    <row r="86" spans="1:4" x14ac:dyDescent="0.3">
      <c r="A86" s="12" t="s">
        <v>284</v>
      </c>
      <c r="B86" s="13">
        <v>85</v>
      </c>
      <c r="C86" s="14">
        <v>48669</v>
      </c>
      <c r="D86" s="11" t="str">
        <f t="shared" si="1"/>
        <v>1Q33</v>
      </c>
    </row>
    <row r="87" spans="1:4" x14ac:dyDescent="0.3">
      <c r="A87" s="12" t="s">
        <v>285</v>
      </c>
      <c r="B87" s="13">
        <v>86</v>
      </c>
      <c r="C87" s="14">
        <v>48760</v>
      </c>
      <c r="D87" s="11" t="str">
        <f t="shared" si="1"/>
        <v>2Q33</v>
      </c>
    </row>
    <row r="88" spans="1:4" x14ac:dyDescent="0.3">
      <c r="A88" s="12" t="s">
        <v>286</v>
      </c>
      <c r="B88" s="13">
        <v>87</v>
      </c>
      <c r="C88" s="14">
        <v>48852</v>
      </c>
      <c r="D88" s="11" t="str">
        <f t="shared" si="1"/>
        <v>3Q33</v>
      </c>
    </row>
    <row r="89" spans="1:4" x14ac:dyDescent="0.3">
      <c r="A89" s="12" t="s">
        <v>287</v>
      </c>
      <c r="B89" s="13">
        <v>88</v>
      </c>
      <c r="C89" s="14">
        <v>48944</v>
      </c>
      <c r="D89" s="11" t="str">
        <f t="shared" si="1"/>
        <v>4Q33</v>
      </c>
    </row>
    <row r="90" spans="1:4" x14ac:dyDescent="0.3">
      <c r="A90" s="12" t="s">
        <v>288</v>
      </c>
      <c r="B90" s="13">
        <v>89</v>
      </c>
      <c r="C90" s="14">
        <v>49034</v>
      </c>
      <c r="D90" s="11" t="str">
        <f t="shared" si="1"/>
        <v>1Q34</v>
      </c>
    </row>
    <row r="91" spans="1:4" x14ac:dyDescent="0.3">
      <c r="A91" s="12" t="s">
        <v>289</v>
      </c>
      <c r="B91" s="13">
        <v>90</v>
      </c>
      <c r="C91" s="14">
        <v>49125</v>
      </c>
      <c r="D91" s="11" t="str">
        <f t="shared" si="1"/>
        <v>2Q34</v>
      </c>
    </row>
    <row r="92" spans="1:4" x14ac:dyDescent="0.3">
      <c r="A92" s="12" t="s">
        <v>290</v>
      </c>
      <c r="B92" s="13">
        <v>91</v>
      </c>
      <c r="C92" s="14">
        <v>49217</v>
      </c>
      <c r="D92" s="11" t="str">
        <f t="shared" si="1"/>
        <v>3Q34</v>
      </c>
    </row>
    <row r="93" spans="1:4" x14ac:dyDescent="0.3">
      <c r="A93" s="12" t="s">
        <v>291</v>
      </c>
      <c r="B93" s="13">
        <v>92</v>
      </c>
      <c r="C93" s="14">
        <v>49309</v>
      </c>
      <c r="D93" s="11" t="str">
        <f t="shared" si="1"/>
        <v>4Q34</v>
      </c>
    </row>
    <row r="94" spans="1:4" x14ac:dyDescent="0.3">
      <c r="A94" t="s">
        <v>292</v>
      </c>
      <c r="B94" s="11">
        <v>93</v>
      </c>
      <c r="C94" s="16">
        <v>49399</v>
      </c>
      <c r="D94" s="11" t="s">
        <v>293</v>
      </c>
    </row>
    <row r="95" spans="1:4" x14ac:dyDescent="0.3">
      <c r="A95" t="s">
        <v>294</v>
      </c>
      <c r="B95" s="11">
        <v>94</v>
      </c>
      <c r="C95" s="16">
        <v>49490</v>
      </c>
      <c r="D95" s="11" t="s">
        <v>295</v>
      </c>
    </row>
    <row r="96" spans="1:4" x14ac:dyDescent="0.3">
      <c r="A96" t="s">
        <v>296</v>
      </c>
      <c r="B96" s="11">
        <v>95</v>
      </c>
      <c r="C96" s="16">
        <v>49582</v>
      </c>
      <c r="D96" s="11" t="s">
        <v>297</v>
      </c>
    </row>
    <row r="97" spans="1:4" x14ac:dyDescent="0.3">
      <c r="A97" t="s">
        <v>298</v>
      </c>
      <c r="B97" s="11">
        <v>96</v>
      </c>
      <c r="C97" s="16">
        <v>49674</v>
      </c>
      <c r="D97" s="11" t="s">
        <v>299</v>
      </c>
    </row>
    <row r="98" spans="1:4" x14ac:dyDescent="0.3">
      <c r="A98" t="s">
        <v>293</v>
      </c>
      <c r="B98" s="11">
        <v>97</v>
      </c>
      <c r="C98" s="16">
        <v>49765</v>
      </c>
      <c r="D98" s="11" t="s">
        <v>300</v>
      </c>
    </row>
    <row r="99" spans="1:4" x14ac:dyDescent="0.3">
      <c r="A99" t="s">
        <v>295</v>
      </c>
      <c r="B99" s="11">
        <v>98</v>
      </c>
      <c r="C99" s="16">
        <v>49856</v>
      </c>
      <c r="D99" s="11" t="s">
        <v>301</v>
      </c>
    </row>
    <row r="100" spans="1:4" x14ac:dyDescent="0.3">
      <c r="A100" t="s">
        <v>297</v>
      </c>
      <c r="B100" s="11">
        <v>99</v>
      </c>
      <c r="C100" s="16">
        <v>49948</v>
      </c>
      <c r="D100" s="11" t="s">
        <v>302</v>
      </c>
    </row>
    <row r="101" spans="1:4" x14ac:dyDescent="0.3">
      <c r="A101" t="s">
        <v>299</v>
      </c>
      <c r="B101" s="11">
        <v>100</v>
      </c>
      <c r="C101" s="16">
        <v>50040</v>
      </c>
      <c r="D101" s="11" t="s">
        <v>303</v>
      </c>
    </row>
    <row r="102" spans="1:4" x14ac:dyDescent="0.3">
      <c r="A102" t="s">
        <v>300</v>
      </c>
      <c r="B102" s="11">
        <v>101</v>
      </c>
      <c r="C102" s="16">
        <v>50130</v>
      </c>
      <c r="D102" s="11" t="s">
        <v>304</v>
      </c>
    </row>
    <row r="103" spans="1:4" x14ac:dyDescent="0.3">
      <c r="A103" t="s">
        <v>301</v>
      </c>
      <c r="B103" s="11">
        <v>102</v>
      </c>
      <c r="C103" s="16">
        <v>50221</v>
      </c>
      <c r="D103" s="11" t="s">
        <v>305</v>
      </c>
    </row>
    <row r="104" spans="1:4" x14ac:dyDescent="0.3">
      <c r="A104" t="s">
        <v>302</v>
      </c>
      <c r="B104" s="11">
        <v>103</v>
      </c>
      <c r="C104" s="16">
        <v>50313</v>
      </c>
      <c r="D104" s="11" t="s">
        <v>306</v>
      </c>
    </row>
    <row r="105" spans="1:4" x14ac:dyDescent="0.3">
      <c r="A105" t="s">
        <v>303</v>
      </c>
      <c r="B105" s="11">
        <v>104</v>
      </c>
      <c r="C105" s="16">
        <v>50405</v>
      </c>
      <c r="D105" s="11" t="s">
        <v>307</v>
      </c>
    </row>
    <row r="106" spans="1:4" x14ac:dyDescent="0.3">
      <c r="A106" t="s">
        <v>304</v>
      </c>
      <c r="B106" s="11">
        <v>105</v>
      </c>
      <c r="C106" s="16">
        <v>50495</v>
      </c>
      <c r="D106" s="11" t="s">
        <v>308</v>
      </c>
    </row>
    <row r="107" spans="1:4" x14ac:dyDescent="0.3">
      <c r="A107" t="s">
        <v>305</v>
      </c>
      <c r="B107" s="11">
        <v>106</v>
      </c>
      <c r="C107" s="16">
        <v>50586</v>
      </c>
      <c r="D107" s="11" t="s">
        <v>309</v>
      </c>
    </row>
    <row r="108" spans="1:4" x14ac:dyDescent="0.3">
      <c r="A108" t="s">
        <v>306</v>
      </c>
      <c r="B108" s="11">
        <v>107</v>
      </c>
      <c r="C108" s="16">
        <v>50678</v>
      </c>
      <c r="D108" s="11" t="s">
        <v>310</v>
      </c>
    </row>
    <row r="109" spans="1:4" x14ac:dyDescent="0.3">
      <c r="A109" t="s">
        <v>307</v>
      </c>
      <c r="B109" s="11">
        <v>108</v>
      </c>
      <c r="C109" s="16">
        <v>50770</v>
      </c>
      <c r="D109" s="11" t="s">
        <v>311</v>
      </c>
    </row>
    <row r="110" spans="1:4" x14ac:dyDescent="0.3">
      <c r="A110" t="s">
        <v>308</v>
      </c>
      <c r="B110" s="11">
        <v>109</v>
      </c>
      <c r="C110" s="16">
        <v>50860</v>
      </c>
      <c r="D110" s="11" t="s">
        <v>312</v>
      </c>
    </row>
    <row r="111" spans="1:4" x14ac:dyDescent="0.3">
      <c r="A111" t="s">
        <v>309</v>
      </c>
      <c r="B111" s="11">
        <v>110</v>
      </c>
      <c r="C111" s="16">
        <v>50951</v>
      </c>
      <c r="D111" s="11" t="s">
        <v>313</v>
      </c>
    </row>
    <row r="112" spans="1:4" x14ac:dyDescent="0.3">
      <c r="A112" t="s">
        <v>310</v>
      </c>
      <c r="B112" s="11">
        <v>111</v>
      </c>
      <c r="C112" s="16">
        <v>51043</v>
      </c>
      <c r="D112" s="11" t="s">
        <v>314</v>
      </c>
    </row>
    <row r="113" spans="1:4" x14ac:dyDescent="0.3">
      <c r="A113" t="s">
        <v>311</v>
      </c>
      <c r="B113" s="11">
        <v>112</v>
      </c>
      <c r="C113" s="16">
        <v>51135</v>
      </c>
      <c r="D113" s="11" t="s">
        <v>315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Key</vt:lpstr>
      <vt:lpstr>Reported Group Highlights</vt:lpstr>
      <vt:lpstr>Sheet1</vt:lpstr>
      <vt:lpstr>Reported Group Balance Sheet</vt:lpstr>
      <vt:lpstr>Domestic Mobile Operations</vt:lpstr>
      <vt:lpstr>FBB KPI</vt:lpstr>
      <vt:lpstr>Charts</vt:lpstr>
      <vt:lpstr>Disclaimer</vt:lpstr>
      <vt:lpstr>Dates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Casper Erskine</dc:creator>
  <cp:lastModifiedBy>Kelvin Oh</cp:lastModifiedBy>
  <dcterms:created xsi:type="dcterms:W3CDTF">2017-05-04T06:51:21Z</dcterms:created>
  <dcterms:modified xsi:type="dcterms:W3CDTF">2024-02-13T06:21:24Z</dcterms:modified>
</cp:coreProperties>
</file>